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M:\PPP\FP\LDP\Community Infrastructure Levy (CIL)\Testing Results\Torfaen High Level Testing\2017 Testing\"/>
    </mc:Choice>
  </mc:AlternateContent>
  <bookViews>
    <workbookView xWindow="0" yWindow="0" windowWidth="15360" windowHeight="8445"/>
  </bookViews>
  <sheets>
    <sheet name="HLT Mixes, etc." sheetId="16" r:id="rId1"/>
    <sheet name="HLT N.Torfaen" sheetId="12" r:id="rId2"/>
    <sheet name="HLT Pont West" sheetId="13" r:id="rId3"/>
    <sheet name="HLT Pont East" sheetId="17" r:id="rId4"/>
    <sheet name="HLT Cwm N&amp;W" sheetId="14" r:id="rId5"/>
    <sheet name="HLT Cwm S&amp;E" sheetId="1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7" i="16" l="1"/>
  <c r="AD16" i="16"/>
  <c r="AD15" i="16"/>
  <c r="AD19" i="16" s="1"/>
  <c r="AD10" i="16"/>
  <c r="AD9" i="16"/>
  <c r="AD12" i="16" s="1"/>
  <c r="AD6" i="16"/>
  <c r="L5" i="16" l="1"/>
  <c r="L6" i="16"/>
  <c r="L7" i="16"/>
  <c r="L8" i="16"/>
  <c r="L9" i="16"/>
  <c r="L10" i="16"/>
  <c r="L11" i="16"/>
  <c r="L12" i="16"/>
  <c r="L13" i="16"/>
  <c r="L14" i="16"/>
  <c r="L15" i="16"/>
  <c r="L4" i="16"/>
  <c r="M5" i="16" l="1"/>
  <c r="M6" i="16"/>
  <c r="M7" i="16"/>
  <c r="M8" i="16"/>
  <c r="M9" i="16"/>
  <c r="M10" i="16"/>
  <c r="M11" i="16"/>
  <c r="M12" i="16"/>
  <c r="M13" i="16"/>
  <c r="M14" i="16"/>
  <c r="M15" i="16"/>
  <c r="M4" i="16"/>
  <c r="N5" i="16"/>
  <c r="N6" i="16"/>
  <c r="N7" i="16"/>
  <c r="N8" i="16"/>
  <c r="N9" i="16"/>
  <c r="N10" i="16"/>
  <c r="N11" i="16"/>
  <c r="N12" i="16"/>
  <c r="N13" i="16"/>
  <c r="N14" i="16"/>
  <c r="N15" i="16"/>
  <c r="N4" i="16"/>
  <c r="K5" i="16"/>
  <c r="K6" i="16"/>
  <c r="K7" i="16"/>
  <c r="K8" i="16"/>
  <c r="K9" i="16"/>
  <c r="K10" i="16"/>
  <c r="K11" i="16"/>
  <c r="K12" i="16"/>
  <c r="K13" i="16"/>
  <c r="K14" i="16"/>
  <c r="K15" i="16"/>
  <c r="K4" i="16"/>
  <c r="K46" i="17" l="1"/>
  <c r="K47" i="17"/>
  <c r="K48" i="17"/>
  <c r="K49" i="17"/>
  <c r="K50" i="17"/>
  <c r="K51" i="17"/>
  <c r="K52" i="17"/>
  <c r="K53" i="17"/>
  <c r="K54" i="17"/>
  <c r="K45" i="17"/>
  <c r="J45" i="17"/>
  <c r="K32" i="17"/>
  <c r="K33" i="17"/>
  <c r="K34" i="17"/>
  <c r="K35" i="17"/>
  <c r="K36" i="17"/>
  <c r="K37" i="17"/>
  <c r="K38" i="17"/>
  <c r="K31" i="17"/>
  <c r="J31" i="17"/>
  <c r="K18" i="17"/>
  <c r="K19" i="17"/>
  <c r="K20" i="17"/>
  <c r="K21" i="17"/>
  <c r="K22" i="17"/>
  <c r="K23" i="17"/>
  <c r="K24" i="17"/>
  <c r="K17" i="17"/>
  <c r="J17" i="17"/>
  <c r="K4" i="17"/>
  <c r="K5" i="17"/>
  <c r="K6" i="17"/>
  <c r="K7" i="17"/>
  <c r="K8" i="17"/>
  <c r="K9" i="17"/>
  <c r="K10" i="17"/>
  <c r="K3" i="17"/>
  <c r="J3" i="17"/>
  <c r="K46" i="13" l="1"/>
  <c r="K47" i="13"/>
  <c r="K48" i="13"/>
  <c r="K49" i="13"/>
  <c r="K50" i="13"/>
  <c r="K51" i="13"/>
  <c r="K52" i="13"/>
  <c r="K53" i="13"/>
  <c r="K54" i="13"/>
  <c r="K45" i="13"/>
  <c r="J45" i="13"/>
  <c r="K32" i="13"/>
  <c r="K33" i="13"/>
  <c r="K34" i="13"/>
  <c r="K35" i="13"/>
  <c r="K36" i="13"/>
  <c r="K37" i="13"/>
  <c r="K38" i="13"/>
  <c r="K31" i="13"/>
  <c r="J31" i="13"/>
  <c r="K18" i="13"/>
  <c r="K19" i="13"/>
  <c r="K20" i="13"/>
  <c r="K21" i="13"/>
  <c r="K22" i="13"/>
  <c r="K23" i="13"/>
  <c r="K24" i="13"/>
  <c r="K17" i="13"/>
  <c r="J17" i="13"/>
  <c r="K4" i="13"/>
  <c r="K5" i="13"/>
  <c r="K6" i="13"/>
  <c r="K7" i="13"/>
  <c r="K8" i="13"/>
  <c r="K9" i="13"/>
  <c r="K10" i="13"/>
  <c r="K3" i="13"/>
  <c r="J3" i="13"/>
  <c r="K48" i="15" l="1"/>
  <c r="K49" i="15"/>
  <c r="K50" i="15"/>
  <c r="K51" i="15"/>
  <c r="K52" i="15"/>
  <c r="K53" i="15"/>
  <c r="K54" i="15"/>
  <c r="K55" i="15"/>
  <c r="K56" i="15"/>
  <c r="K57" i="15"/>
  <c r="K58" i="15"/>
  <c r="K47" i="15"/>
  <c r="J48" i="15"/>
  <c r="J47" i="15"/>
  <c r="K33" i="15"/>
  <c r="K34" i="15"/>
  <c r="K35" i="15"/>
  <c r="K36" i="15"/>
  <c r="K37" i="15"/>
  <c r="K38" i="15"/>
  <c r="K39" i="15"/>
  <c r="K40" i="15"/>
  <c r="K32" i="15"/>
  <c r="J33" i="15"/>
  <c r="J32" i="15"/>
  <c r="K18" i="15"/>
  <c r="K19" i="15"/>
  <c r="K20" i="15"/>
  <c r="K21" i="15"/>
  <c r="K22" i="15"/>
  <c r="K23" i="15"/>
  <c r="K24" i="15"/>
  <c r="K25" i="15"/>
  <c r="K26" i="15"/>
  <c r="K17" i="15"/>
  <c r="J18" i="15"/>
  <c r="J17" i="15"/>
  <c r="K4" i="15"/>
  <c r="K5" i="15"/>
  <c r="K6" i="15"/>
  <c r="K7" i="15"/>
  <c r="K8" i="15"/>
  <c r="K9" i="15"/>
  <c r="K10" i="15"/>
  <c r="K3" i="15"/>
  <c r="J3" i="15"/>
  <c r="L44" i="14" l="1"/>
  <c r="L45" i="14"/>
  <c r="L46" i="14"/>
  <c r="L47" i="14"/>
  <c r="L48" i="14"/>
  <c r="L49" i="14"/>
  <c r="L50" i="14"/>
  <c r="L51" i="14"/>
  <c r="L52" i="14"/>
  <c r="L43" i="14"/>
  <c r="K44" i="14"/>
  <c r="K43" i="14"/>
  <c r="L31" i="14"/>
  <c r="L32" i="14"/>
  <c r="L33" i="14"/>
  <c r="L34" i="14"/>
  <c r="L35" i="14"/>
  <c r="L36" i="14"/>
  <c r="L37" i="14"/>
  <c r="L30" i="14"/>
  <c r="K30" i="14"/>
  <c r="L18" i="14"/>
  <c r="L19" i="14"/>
  <c r="L20" i="14"/>
  <c r="L21" i="14"/>
  <c r="L22" i="14"/>
  <c r="L23" i="14"/>
  <c r="L24" i="14"/>
  <c r="L17" i="14"/>
  <c r="L16" i="14"/>
  <c r="K16" i="14"/>
  <c r="L5" i="14"/>
  <c r="L4" i="14"/>
  <c r="L3" i="14"/>
  <c r="L7" i="14"/>
  <c r="L8" i="14"/>
  <c r="L9" i="14"/>
  <c r="L10" i="14"/>
  <c r="L6" i="14"/>
  <c r="K3" i="14"/>
  <c r="C16" i="15" l="1"/>
  <c r="C31" i="15"/>
  <c r="C46" i="15"/>
  <c r="C2" i="15"/>
  <c r="D42" i="14"/>
  <c r="D29" i="14"/>
  <c r="D15" i="14"/>
  <c r="D2" i="14"/>
  <c r="C16" i="17"/>
  <c r="C30" i="17"/>
  <c r="C44" i="17"/>
  <c r="C2" i="17"/>
  <c r="C44" i="13"/>
  <c r="C30" i="13"/>
  <c r="C16" i="13"/>
  <c r="C2" i="13"/>
  <c r="C43" i="12"/>
  <c r="C29" i="12"/>
  <c r="C15" i="12"/>
  <c r="C2" i="12"/>
  <c r="J5" i="16" l="1"/>
  <c r="J6" i="16"/>
  <c r="J7" i="16"/>
  <c r="J8" i="16"/>
  <c r="J9" i="16"/>
  <c r="J10" i="16"/>
  <c r="J11" i="16"/>
  <c r="J12" i="16"/>
  <c r="J13" i="16"/>
  <c r="J14" i="16"/>
  <c r="J15" i="16"/>
  <c r="J4" i="16"/>
  <c r="Y33" i="15" l="1"/>
  <c r="Z33" i="15" s="1"/>
  <c r="Y36" i="15"/>
  <c r="Z36" i="15" s="1"/>
  <c r="T41" i="15"/>
  <c r="Y34" i="15"/>
  <c r="Z34" i="15" s="1"/>
  <c r="Y35" i="15"/>
  <c r="Z35" i="15" s="1"/>
  <c r="Y37" i="15"/>
  <c r="Z37" i="15" s="1"/>
  <c r="Y38" i="15"/>
  <c r="Z38" i="15" s="1"/>
  <c r="Y39" i="15"/>
  <c r="Z39" i="15" s="1"/>
  <c r="Y40" i="15"/>
  <c r="Z40" i="15" s="1"/>
  <c r="Y4" i="15"/>
  <c r="Z4" i="15" s="1"/>
  <c r="T11" i="15"/>
  <c r="Y5" i="15"/>
  <c r="Z5" i="15" s="1"/>
  <c r="Y6" i="15"/>
  <c r="Z6" i="15"/>
  <c r="Y7" i="15"/>
  <c r="Z7" i="15" s="1"/>
  <c r="Y8" i="15"/>
  <c r="Z8" i="15" s="1"/>
  <c r="Y9" i="15"/>
  <c r="Z9" i="15" s="1"/>
  <c r="Y10" i="15"/>
  <c r="Z10" i="15"/>
  <c r="Y32" i="15"/>
  <c r="Z32" i="15" s="1"/>
  <c r="Y3" i="15"/>
  <c r="Z3" i="15" s="1"/>
  <c r="Z41" i="15" l="1"/>
  <c r="AA41" i="15" s="1"/>
  <c r="AB41" i="15" s="1"/>
  <c r="AB42" i="15" s="1"/>
  <c r="N43" i="15" s="1"/>
  <c r="Z11" i="15"/>
  <c r="AA11" i="15" s="1"/>
  <c r="AB11" i="15" s="1"/>
  <c r="AB12" i="15" s="1"/>
  <c r="N13" i="15" s="1"/>
  <c r="K51" i="12" l="1"/>
  <c r="K50" i="12"/>
  <c r="K49" i="12"/>
  <c r="K48" i="12"/>
  <c r="K47" i="12"/>
  <c r="K46" i="12"/>
  <c r="K45" i="12"/>
  <c r="K44" i="12"/>
  <c r="K37" i="12"/>
  <c r="K36" i="12"/>
  <c r="K35" i="12"/>
  <c r="K34" i="12"/>
  <c r="K33" i="12"/>
  <c r="K32" i="12"/>
  <c r="K31" i="12"/>
  <c r="K30" i="12"/>
  <c r="K23" i="12"/>
  <c r="K22" i="12"/>
  <c r="K21" i="12"/>
  <c r="K20" i="12"/>
  <c r="K19" i="12"/>
  <c r="K18" i="12"/>
  <c r="K17" i="12"/>
  <c r="K16" i="12"/>
  <c r="K4" i="12"/>
  <c r="K5" i="12"/>
  <c r="K6" i="12"/>
  <c r="K7" i="12"/>
  <c r="K8" i="12"/>
  <c r="K9" i="12"/>
  <c r="K3" i="12"/>
  <c r="G11" i="15"/>
  <c r="G27" i="15"/>
  <c r="G41" i="15"/>
  <c r="G59" i="15"/>
  <c r="B43" i="14"/>
  <c r="B44" i="14" s="1"/>
  <c r="D44" i="14" s="1"/>
  <c r="B30" i="14"/>
  <c r="B31" i="14" s="1"/>
  <c r="D31" i="14" s="1"/>
  <c r="B16" i="14"/>
  <c r="B17" i="14" s="1"/>
  <c r="D17" i="14" s="1"/>
  <c r="B3" i="14"/>
  <c r="B4" i="14" s="1"/>
  <c r="D4" i="14" s="1"/>
  <c r="H11" i="14"/>
  <c r="H25" i="14"/>
  <c r="H38" i="14"/>
  <c r="H53" i="14"/>
  <c r="T39" i="17"/>
  <c r="Y31" i="17"/>
  <c r="Z31" i="17" s="1"/>
  <c r="Y32" i="17"/>
  <c r="Z32" i="17" s="1"/>
  <c r="Y33" i="17"/>
  <c r="Z33" i="17" s="1"/>
  <c r="Y34" i="17"/>
  <c r="Z34" i="17"/>
  <c r="Y35" i="17"/>
  <c r="Z35" i="17" s="1"/>
  <c r="Y36" i="17"/>
  <c r="Z36" i="17"/>
  <c r="Y37" i="17"/>
  <c r="Z37" i="17" s="1"/>
  <c r="Y38" i="17"/>
  <c r="Z38" i="17" s="1"/>
  <c r="T25" i="17"/>
  <c r="Y17" i="17"/>
  <c r="Z17" i="17" s="1"/>
  <c r="Y18" i="17"/>
  <c r="Z18" i="17" s="1"/>
  <c r="Y19" i="17"/>
  <c r="Z19" i="17"/>
  <c r="Y20" i="17"/>
  <c r="Z20" i="17" s="1"/>
  <c r="Y21" i="17"/>
  <c r="Z21" i="17" s="1"/>
  <c r="Y22" i="17"/>
  <c r="Z22" i="17" s="1"/>
  <c r="Y23" i="17"/>
  <c r="Z23" i="17"/>
  <c r="Y24" i="17"/>
  <c r="Z24" i="17" s="1"/>
  <c r="Y3" i="17"/>
  <c r="Z3" i="17" s="1"/>
  <c r="T11" i="17"/>
  <c r="Y4" i="17"/>
  <c r="Z4" i="17"/>
  <c r="Y5" i="17"/>
  <c r="Z5" i="17"/>
  <c r="Y6" i="17"/>
  <c r="Z6" i="17"/>
  <c r="Y7" i="17"/>
  <c r="Z7" i="17"/>
  <c r="Y8" i="17"/>
  <c r="Z8" i="17"/>
  <c r="Y9" i="17"/>
  <c r="Z9" i="17"/>
  <c r="Y10" i="17"/>
  <c r="Z10" i="17"/>
  <c r="T39" i="13"/>
  <c r="Y31" i="13"/>
  <c r="Z31" i="13" s="1"/>
  <c r="Y32" i="13"/>
  <c r="Z32" i="13" s="1"/>
  <c r="Y33" i="13"/>
  <c r="Z33" i="13" s="1"/>
  <c r="Y34" i="13"/>
  <c r="Z34" i="13" s="1"/>
  <c r="Y35" i="13"/>
  <c r="Z35" i="13" s="1"/>
  <c r="Y36" i="13"/>
  <c r="Z36" i="13" s="1"/>
  <c r="Y37" i="13"/>
  <c r="Z37" i="13" s="1"/>
  <c r="Y38" i="13"/>
  <c r="Z38" i="13" s="1"/>
  <c r="T25" i="13"/>
  <c r="Y17" i="13"/>
  <c r="Z17" i="13" s="1"/>
  <c r="Y18" i="13"/>
  <c r="Z18" i="13" s="1"/>
  <c r="Y19" i="13"/>
  <c r="Z19" i="13" s="1"/>
  <c r="Y20" i="13"/>
  <c r="Z20" i="13" s="1"/>
  <c r="Y21" i="13"/>
  <c r="Z21" i="13"/>
  <c r="Y22" i="13"/>
  <c r="Z22" i="13" s="1"/>
  <c r="Y23" i="13"/>
  <c r="Z23" i="13" s="1"/>
  <c r="Y24" i="13"/>
  <c r="Z24" i="13" s="1"/>
  <c r="T11" i="13"/>
  <c r="Y3" i="13"/>
  <c r="Z3" i="13" s="1"/>
  <c r="Y4" i="13"/>
  <c r="Z4" i="13" s="1"/>
  <c r="Y5" i="13"/>
  <c r="Z5" i="13"/>
  <c r="Y6" i="13"/>
  <c r="Z6" i="13" s="1"/>
  <c r="Y7" i="13"/>
  <c r="Z7" i="13"/>
  <c r="Y8" i="13"/>
  <c r="Z8" i="13" s="1"/>
  <c r="Y9" i="13"/>
  <c r="Z9" i="13"/>
  <c r="Y10" i="13"/>
  <c r="Z10" i="13" s="1"/>
  <c r="Z11" i="13" l="1"/>
  <c r="AA11" i="13" s="1"/>
  <c r="AB11" i="13" s="1"/>
  <c r="AB12" i="13" s="1"/>
  <c r="N13" i="13" s="1"/>
  <c r="Z25" i="13"/>
  <c r="AA25" i="13" s="1"/>
  <c r="AB25" i="13" s="1"/>
  <c r="AB26" i="13" s="1"/>
  <c r="N27" i="13" s="1"/>
  <c r="Z25" i="17"/>
  <c r="Z11" i="17"/>
  <c r="AA11" i="17" s="1"/>
  <c r="AB11" i="17" s="1"/>
  <c r="AB12" i="17" s="1"/>
  <c r="N13" i="17" s="1"/>
  <c r="AA25" i="17"/>
  <c r="AB25" i="17" s="1"/>
  <c r="AB26" i="17" s="1"/>
  <c r="N27" i="17" s="1"/>
  <c r="D3" i="14"/>
  <c r="D16" i="14"/>
  <c r="D30" i="14"/>
  <c r="D43" i="14"/>
  <c r="Z39" i="17"/>
  <c r="AA39" i="17" s="1"/>
  <c r="AB39" i="17" s="1"/>
  <c r="AB40" i="17" s="1"/>
  <c r="N41" i="17" s="1"/>
  <c r="Z39" i="13"/>
  <c r="AA39" i="13" s="1"/>
  <c r="AB39" i="13" l="1"/>
  <c r="AB40" i="13" s="1"/>
  <c r="N41" i="13" s="1"/>
  <c r="G39" i="17"/>
  <c r="O38" i="17"/>
  <c r="O37" i="17"/>
  <c r="O36" i="17"/>
  <c r="O35" i="17"/>
  <c r="O34" i="17"/>
  <c r="O33" i="17"/>
  <c r="L33" i="17"/>
  <c r="N33" i="17" s="1"/>
  <c r="O32" i="17"/>
  <c r="L32" i="17"/>
  <c r="N32" i="17" s="1"/>
  <c r="O31" i="17"/>
  <c r="L31" i="17"/>
  <c r="M31" i="17" s="1"/>
  <c r="M39" i="17" s="1"/>
  <c r="A45" i="17"/>
  <c r="C45" i="17" s="1"/>
  <c r="A31" i="17"/>
  <c r="C31" i="17" s="1"/>
  <c r="A17" i="17"/>
  <c r="C17" i="17" s="1"/>
  <c r="A3" i="17"/>
  <c r="C3" i="17" s="1"/>
  <c r="G11" i="17"/>
  <c r="G25" i="17"/>
  <c r="G55" i="17"/>
  <c r="G39" i="13"/>
  <c r="O38" i="13"/>
  <c r="O37" i="13"/>
  <c r="O36" i="13"/>
  <c r="O35" i="13"/>
  <c r="O34" i="13"/>
  <c r="O33" i="13"/>
  <c r="L33" i="13"/>
  <c r="N33" i="13" s="1"/>
  <c r="O32" i="13"/>
  <c r="L32" i="13"/>
  <c r="N32" i="13" s="1"/>
  <c r="O31" i="13"/>
  <c r="L31" i="13"/>
  <c r="M31" i="13" s="1"/>
  <c r="M39" i="13" s="1"/>
  <c r="O39" i="13" l="1"/>
  <c r="Q33" i="17"/>
  <c r="N39" i="17"/>
  <c r="N40" i="17" s="1"/>
  <c r="O39" i="17"/>
  <c r="P39" i="17"/>
  <c r="A18" i="17"/>
  <c r="C18" i="17" s="1"/>
  <c r="A46" i="17"/>
  <c r="C46" i="17" s="1"/>
  <c r="A4" i="17"/>
  <c r="C4" i="17" s="1"/>
  <c r="A32" i="17"/>
  <c r="C32" i="17" s="1"/>
  <c r="N39" i="13"/>
  <c r="N40" i="13" s="1"/>
  <c r="Q33" i="13"/>
  <c r="P39" i="13"/>
  <c r="A3" i="12" l="1"/>
  <c r="A4" i="12" s="1"/>
  <c r="A16" i="12"/>
  <c r="A17" i="12"/>
  <c r="A30" i="12"/>
  <c r="A31" i="12" s="1"/>
  <c r="A44" i="12"/>
  <c r="A45" i="12" s="1"/>
  <c r="T37" i="12"/>
  <c r="Y30" i="12"/>
  <c r="Z30" i="12" s="1"/>
  <c r="Y16" i="12"/>
  <c r="Z16" i="12" s="1"/>
  <c r="Y3" i="12" l="1"/>
  <c r="Z3" i="12" s="1"/>
  <c r="Y4" i="12"/>
  <c r="Z4" i="12" s="1"/>
  <c r="Y36" i="12"/>
  <c r="Z36" i="12" s="1"/>
  <c r="Y35" i="12"/>
  <c r="Z35" i="12" s="1"/>
  <c r="Y34" i="12"/>
  <c r="Z34" i="12" s="1"/>
  <c r="Y33" i="12"/>
  <c r="Z33" i="12" s="1"/>
  <c r="Y32" i="12"/>
  <c r="Z32" i="12" s="1"/>
  <c r="Y31" i="12"/>
  <c r="Z31" i="12" s="1"/>
  <c r="T23" i="12"/>
  <c r="Y22" i="12"/>
  <c r="Z22" i="12" s="1"/>
  <c r="Y21" i="12"/>
  <c r="Z21" i="12" s="1"/>
  <c r="Y20" i="12"/>
  <c r="Z20" i="12" s="1"/>
  <c r="Y19" i="12"/>
  <c r="Z19" i="12" s="1"/>
  <c r="Y18" i="12"/>
  <c r="Z18" i="12" s="1"/>
  <c r="Y17" i="12"/>
  <c r="Z17" i="12" s="1"/>
  <c r="T10" i="12"/>
  <c r="Y9" i="12"/>
  <c r="Z9" i="12" s="1"/>
  <c r="Y8" i="12"/>
  <c r="Z8" i="12" s="1"/>
  <c r="Y7" i="12"/>
  <c r="Z7" i="12" s="1"/>
  <c r="Y6" i="12"/>
  <c r="Z6" i="12" s="1"/>
  <c r="Y5" i="12"/>
  <c r="Z5" i="12" s="1"/>
  <c r="Z37" i="12" l="1"/>
  <c r="Z23" i="12"/>
  <c r="Z10" i="12"/>
  <c r="AA10" i="12" l="1"/>
  <c r="AB10" i="12" s="1"/>
  <c r="AB11" i="12" s="1"/>
  <c r="N12" i="12" s="1"/>
  <c r="AA23" i="12"/>
  <c r="AB23" i="12" s="1"/>
  <c r="AB24" i="12" s="1"/>
  <c r="N26" i="12" s="1"/>
  <c r="AA37" i="12"/>
  <c r="AB37" i="12" s="1"/>
  <c r="AB38" i="12" s="1"/>
  <c r="N40" i="12" s="1"/>
  <c r="L3" i="17"/>
  <c r="M3" i="17" s="1"/>
  <c r="M11" i="17" s="1"/>
  <c r="O54" i="17"/>
  <c r="O53" i="17"/>
  <c r="O52" i="17"/>
  <c r="O51" i="17"/>
  <c r="O50" i="17"/>
  <c r="O49" i="17"/>
  <c r="O48" i="17"/>
  <c r="L48" i="17"/>
  <c r="N48" i="17" s="1"/>
  <c r="O47" i="17"/>
  <c r="L47" i="17"/>
  <c r="N47" i="17" s="1"/>
  <c r="O46" i="17"/>
  <c r="L46" i="17"/>
  <c r="N46" i="17" s="1"/>
  <c r="O45" i="17"/>
  <c r="L45" i="17"/>
  <c r="M45" i="17" s="1"/>
  <c r="M55" i="17" s="1"/>
  <c r="O24" i="17"/>
  <c r="O23" i="17"/>
  <c r="O22" i="17"/>
  <c r="O21" i="17"/>
  <c r="O20" i="17"/>
  <c r="O19" i="17"/>
  <c r="L19" i="17"/>
  <c r="N19" i="17" s="1"/>
  <c r="O18" i="17"/>
  <c r="L18" i="17"/>
  <c r="N18" i="17" s="1"/>
  <c r="O17" i="17"/>
  <c r="L17" i="17"/>
  <c r="M17" i="17" s="1"/>
  <c r="M25" i="17" s="1"/>
  <c r="O10" i="17"/>
  <c r="O9" i="17"/>
  <c r="O8" i="17"/>
  <c r="O7" i="17"/>
  <c r="O6" i="17"/>
  <c r="O5" i="17"/>
  <c r="L5" i="17"/>
  <c r="N5" i="17" s="1"/>
  <c r="O4" i="17"/>
  <c r="L4" i="17"/>
  <c r="N4" i="17" s="1"/>
  <c r="O3" i="17"/>
  <c r="Q5" i="17" l="1"/>
  <c r="O55" i="17"/>
  <c r="Q48" i="17"/>
  <c r="P25" i="17"/>
  <c r="P11" i="17"/>
  <c r="P55" i="17"/>
  <c r="Q19" i="17"/>
  <c r="N11" i="17"/>
  <c r="N12" i="17" s="1"/>
  <c r="O11" i="17"/>
  <c r="N55" i="17"/>
  <c r="N56" i="17" s="1"/>
  <c r="O25" i="17"/>
  <c r="N25" i="17"/>
  <c r="N26" i="17" s="1"/>
  <c r="O44" i="12" l="1"/>
  <c r="Q44" i="12" s="1"/>
  <c r="L44" i="12"/>
  <c r="N44" i="12" s="1"/>
  <c r="N52" i="12" s="1"/>
  <c r="G52" i="12"/>
  <c r="O51" i="12"/>
  <c r="O50" i="12"/>
  <c r="O49" i="12"/>
  <c r="O48" i="12"/>
  <c r="O47" i="12"/>
  <c r="O46" i="12"/>
  <c r="O45" i="12"/>
  <c r="M52" i="12"/>
  <c r="O31" i="12"/>
  <c r="O30" i="12"/>
  <c r="Q30" i="12" s="1"/>
  <c r="L30" i="12"/>
  <c r="N30" i="12" s="1"/>
  <c r="N38" i="12" s="1"/>
  <c r="G38" i="12"/>
  <c r="O37" i="12"/>
  <c r="O36" i="12"/>
  <c r="O35" i="12"/>
  <c r="O34" i="12"/>
  <c r="O33" i="12"/>
  <c r="O32" i="12"/>
  <c r="M38" i="12"/>
  <c r="O16" i="12"/>
  <c r="Q16" i="12" s="1"/>
  <c r="L16" i="12"/>
  <c r="N16" i="12" s="1"/>
  <c r="N24" i="12" s="1"/>
  <c r="G24" i="12"/>
  <c r="O23" i="12"/>
  <c r="O22" i="12"/>
  <c r="O21" i="12"/>
  <c r="O20" i="12"/>
  <c r="O19" i="12"/>
  <c r="O18" i="12"/>
  <c r="O17" i="12"/>
  <c r="M24" i="12"/>
  <c r="O4" i="12"/>
  <c r="G10" i="12"/>
  <c r="O9" i="12"/>
  <c r="O8" i="12"/>
  <c r="O7" i="12"/>
  <c r="O6" i="12"/>
  <c r="O5" i="12"/>
  <c r="O3" i="12"/>
  <c r="L3" i="12"/>
  <c r="N3" i="12" s="1"/>
  <c r="N10" i="12" s="1"/>
  <c r="N11" i="12" s="1"/>
  <c r="D32" i="12"/>
  <c r="D5" i="12"/>
  <c r="C44" i="12"/>
  <c r="C30" i="12"/>
  <c r="C16" i="12"/>
  <c r="C3" i="12"/>
  <c r="C4" i="12" l="1"/>
  <c r="N53" i="12"/>
  <c r="P10" i="12"/>
  <c r="P52" i="12"/>
  <c r="O38" i="12"/>
  <c r="P38" i="12"/>
  <c r="O52" i="12"/>
  <c r="C17" i="12"/>
  <c r="O24" i="12"/>
  <c r="P24" i="12"/>
  <c r="N39" i="12"/>
  <c r="N25" i="12"/>
  <c r="O10" i="12"/>
  <c r="Q3" i="12"/>
  <c r="C45" i="12"/>
  <c r="C31" i="12"/>
  <c r="A47" i="15" l="1"/>
  <c r="A48" i="15" s="1"/>
  <c r="C48" i="15" s="1"/>
  <c r="O58" i="15"/>
  <c r="O57" i="15"/>
  <c r="O56" i="15"/>
  <c r="O55" i="15"/>
  <c r="O54" i="15"/>
  <c r="O53" i="15"/>
  <c r="O52" i="15"/>
  <c r="L52" i="15"/>
  <c r="N52" i="15" s="1"/>
  <c r="O51" i="15"/>
  <c r="L51" i="15"/>
  <c r="N51" i="15" s="1"/>
  <c r="O50" i="15"/>
  <c r="L50" i="15"/>
  <c r="N50" i="15" s="1"/>
  <c r="O49" i="15"/>
  <c r="L49" i="15"/>
  <c r="N49" i="15" s="1"/>
  <c r="O48" i="15"/>
  <c r="L48" i="15"/>
  <c r="M48" i="15" s="1"/>
  <c r="O47" i="15"/>
  <c r="L47" i="15"/>
  <c r="M47" i="15" s="1"/>
  <c r="A32" i="15"/>
  <c r="A33" i="15" s="1"/>
  <c r="C33" i="15" s="1"/>
  <c r="O40" i="15"/>
  <c r="O39" i="15"/>
  <c r="O38" i="15"/>
  <c r="O37" i="15"/>
  <c r="O36" i="15"/>
  <c r="L36" i="15"/>
  <c r="N36" i="15" s="1"/>
  <c r="O35" i="15"/>
  <c r="L35" i="15"/>
  <c r="N35" i="15" s="1"/>
  <c r="O34" i="15"/>
  <c r="L34" i="15"/>
  <c r="N34" i="15" s="1"/>
  <c r="O33" i="15"/>
  <c r="L33" i="15"/>
  <c r="M33" i="15" s="1"/>
  <c r="O32" i="15"/>
  <c r="L32" i="15"/>
  <c r="M32" i="15" s="1"/>
  <c r="A17" i="15"/>
  <c r="A18" i="15" s="1"/>
  <c r="C18" i="15" s="1"/>
  <c r="O26" i="15"/>
  <c r="O25" i="15"/>
  <c r="O24" i="15"/>
  <c r="O23" i="15"/>
  <c r="O22" i="15"/>
  <c r="O21" i="15"/>
  <c r="L21" i="15"/>
  <c r="N21" i="15" s="1"/>
  <c r="O20" i="15"/>
  <c r="L20" i="15"/>
  <c r="N20" i="15" s="1"/>
  <c r="O19" i="15"/>
  <c r="L19" i="15"/>
  <c r="N19" i="15" s="1"/>
  <c r="O18" i="15"/>
  <c r="L18" i="15"/>
  <c r="M18" i="15" s="1"/>
  <c r="O17" i="15"/>
  <c r="L17" i="15"/>
  <c r="M17" i="15" s="1"/>
  <c r="A3" i="15"/>
  <c r="A4" i="15" s="1"/>
  <c r="C4" i="15" s="1"/>
  <c r="O10" i="15"/>
  <c r="O9" i="15"/>
  <c r="O8" i="15"/>
  <c r="O7" i="15"/>
  <c r="O6" i="15"/>
  <c r="O5" i="15"/>
  <c r="L5" i="15"/>
  <c r="N5" i="15" s="1"/>
  <c r="O4" i="15"/>
  <c r="L4" i="15"/>
  <c r="N4" i="15" s="1"/>
  <c r="O3" i="15"/>
  <c r="L3" i="15"/>
  <c r="M3" i="15" s="1"/>
  <c r="M44" i="14"/>
  <c r="N44" i="14" s="1"/>
  <c r="P44" i="14"/>
  <c r="P52" i="14"/>
  <c r="P51" i="14"/>
  <c r="P50" i="14"/>
  <c r="P49" i="14"/>
  <c r="P48" i="14"/>
  <c r="P47" i="14"/>
  <c r="P46" i="14"/>
  <c r="M46" i="14"/>
  <c r="O46" i="14" s="1"/>
  <c r="P45" i="14"/>
  <c r="M45" i="14"/>
  <c r="O45" i="14" s="1"/>
  <c r="P43" i="14"/>
  <c r="M43" i="14"/>
  <c r="N43" i="14" s="1"/>
  <c r="P37" i="14"/>
  <c r="P36" i="14"/>
  <c r="P35" i="14"/>
  <c r="P34" i="14"/>
  <c r="P33" i="14"/>
  <c r="P32" i="14"/>
  <c r="M32" i="14"/>
  <c r="O32" i="14" s="1"/>
  <c r="P31" i="14"/>
  <c r="M31" i="14"/>
  <c r="O31" i="14" s="1"/>
  <c r="P30" i="14"/>
  <c r="M30" i="14"/>
  <c r="N30" i="14" s="1"/>
  <c r="N38" i="14" s="1"/>
  <c r="P24" i="14"/>
  <c r="P23" i="14"/>
  <c r="P22" i="14"/>
  <c r="P21" i="14"/>
  <c r="P20" i="14"/>
  <c r="P19" i="14"/>
  <c r="M19" i="14"/>
  <c r="O19" i="14" s="1"/>
  <c r="P18" i="14"/>
  <c r="M18" i="14"/>
  <c r="O18" i="14" s="1"/>
  <c r="P17" i="14"/>
  <c r="M17" i="14"/>
  <c r="O17" i="14" s="1"/>
  <c r="P16" i="14"/>
  <c r="M16" i="14"/>
  <c r="N16" i="14" s="1"/>
  <c r="N25" i="14" s="1"/>
  <c r="P10" i="14"/>
  <c r="P9" i="14"/>
  <c r="P8" i="14"/>
  <c r="P7" i="14"/>
  <c r="P6" i="14"/>
  <c r="P5" i="14"/>
  <c r="M5" i="14"/>
  <c r="O5" i="14" s="1"/>
  <c r="P4" i="14"/>
  <c r="M4" i="14"/>
  <c r="O4" i="14" s="1"/>
  <c r="P3" i="14"/>
  <c r="M3" i="14"/>
  <c r="N3" i="14" s="1"/>
  <c r="N11" i="14" s="1"/>
  <c r="A45" i="13"/>
  <c r="A46" i="13" s="1"/>
  <c r="C46" i="13" s="1"/>
  <c r="G55" i="13"/>
  <c r="O54" i="13"/>
  <c r="O53" i="13"/>
  <c r="O52" i="13"/>
  <c r="O51" i="13"/>
  <c r="O50" i="13"/>
  <c r="O49" i="13"/>
  <c r="O48" i="13"/>
  <c r="L48" i="13"/>
  <c r="N48" i="13" s="1"/>
  <c r="O47" i="13"/>
  <c r="L47" i="13"/>
  <c r="N47" i="13" s="1"/>
  <c r="O46" i="13"/>
  <c r="L46" i="13"/>
  <c r="N46" i="13" s="1"/>
  <c r="O45" i="13"/>
  <c r="L45" i="13"/>
  <c r="M45" i="13" s="1"/>
  <c r="A31" i="13"/>
  <c r="A32" i="13" s="1"/>
  <c r="C32" i="13" s="1"/>
  <c r="A17" i="13"/>
  <c r="A18" i="13" s="1"/>
  <c r="C18" i="13" s="1"/>
  <c r="G25" i="13"/>
  <c r="O24" i="13"/>
  <c r="O23" i="13"/>
  <c r="O22" i="13"/>
  <c r="O21" i="13"/>
  <c r="O20" i="13"/>
  <c r="O19" i="13"/>
  <c r="L19" i="13"/>
  <c r="N19" i="13" s="1"/>
  <c r="O18" i="13"/>
  <c r="L18" i="13"/>
  <c r="N18" i="13" s="1"/>
  <c r="O17" i="13"/>
  <c r="L17" i="13"/>
  <c r="M17" i="13" s="1"/>
  <c r="M25" i="13" s="1"/>
  <c r="O5" i="13"/>
  <c r="L5" i="13"/>
  <c r="N5" i="13" s="1"/>
  <c r="A3" i="13"/>
  <c r="C3" i="13" s="1"/>
  <c r="G11" i="13"/>
  <c r="O10" i="13"/>
  <c r="O9" i="13"/>
  <c r="O8" i="13"/>
  <c r="O7" i="13"/>
  <c r="O6" i="13"/>
  <c r="O4" i="13"/>
  <c r="L4" i="13"/>
  <c r="N4" i="13" s="1"/>
  <c r="O3" i="13"/>
  <c r="L3" i="13"/>
  <c r="M3" i="13" s="1"/>
  <c r="M11" i="13" s="1"/>
  <c r="P41" i="15" l="1"/>
  <c r="Q38" i="14"/>
  <c r="Q5" i="13"/>
  <c r="N11" i="13"/>
  <c r="N12" i="13" s="1"/>
  <c r="P55" i="13"/>
  <c r="M41" i="15"/>
  <c r="P11" i="14"/>
  <c r="M27" i="15"/>
  <c r="N27" i="15"/>
  <c r="Q53" i="14"/>
  <c r="P11" i="15"/>
  <c r="P25" i="13"/>
  <c r="Q11" i="14"/>
  <c r="Q5" i="15"/>
  <c r="P27" i="15"/>
  <c r="P59" i="15"/>
  <c r="O25" i="13"/>
  <c r="P53" i="14"/>
  <c r="O41" i="15"/>
  <c r="Q52" i="15"/>
  <c r="O59" i="15"/>
  <c r="C47" i="15"/>
  <c r="M59" i="15"/>
  <c r="N59" i="15"/>
  <c r="N41" i="15"/>
  <c r="C32" i="15"/>
  <c r="Q36" i="15"/>
  <c r="Q21" i="15"/>
  <c r="O27" i="15"/>
  <c r="C17" i="15"/>
  <c r="O11" i="15"/>
  <c r="C3" i="15"/>
  <c r="M11" i="15"/>
  <c r="N11" i="15"/>
  <c r="O53" i="14"/>
  <c r="N53" i="14"/>
  <c r="R46" i="14"/>
  <c r="P38" i="14"/>
  <c r="R32" i="14"/>
  <c r="O38" i="14"/>
  <c r="O39" i="14" s="1"/>
  <c r="P25" i="14"/>
  <c r="Q25" i="14"/>
  <c r="O25" i="14"/>
  <c r="O26" i="14" s="1"/>
  <c r="R19" i="14"/>
  <c r="O11" i="14"/>
  <c r="O12" i="14" s="1"/>
  <c r="R5" i="14"/>
  <c r="O55" i="13"/>
  <c r="Q48" i="13"/>
  <c r="C45" i="13"/>
  <c r="M55" i="13"/>
  <c r="N55" i="13"/>
  <c r="C31" i="13"/>
  <c r="N25" i="13"/>
  <c r="N26" i="13" s="1"/>
  <c r="Q19" i="13"/>
  <c r="C17" i="13"/>
  <c r="P11" i="13"/>
  <c r="O11" i="13"/>
  <c r="A4" i="13"/>
  <c r="C4" i="13" s="1"/>
  <c r="N42" i="15" l="1"/>
  <c r="N28" i="15"/>
  <c r="N60" i="15"/>
  <c r="N12" i="15"/>
  <c r="O54" i="14"/>
  <c r="N56" i="13"/>
</calcChain>
</file>

<file path=xl/sharedStrings.xml><?xml version="1.0" encoding="utf-8"?>
<sst xmlns="http://schemas.openxmlformats.org/spreadsheetml/2006/main" count="1150" uniqueCount="186">
  <si>
    <t>House Type</t>
  </si>
  <si>
    <t>TOTAL</t>
  </si>
  <si>
    <t>No.s</t>
  </si>
  <si>
    <t>2 bed terrace</t>
  </si>
  <si>
    <t>3 bed terrace</t>
  </si>
  <si>
    <t>3 bed semi</t>
  </si>
  <si>
    <t>4 bed semi</t>
  </si>
  <si>
    <t>3 bed detached</t>
  </si>
  <si>
    <t>4 bed detached</t>
  </si>
  <si>
    <t>5 bed detached</t>
  </si>
  <si>
    <t>Size</t>
  </si>
  <si>
    <t>Equiv RSL</t>
  </si>
  <si>
    <t>ACG Tot</t>
  </si>
  <si>
    <t>4P2BH</t>
  </si>
  <si>
    <t>4P3BH</t>
  </si>
  <si>
    <t>5P3BH</t>
  </si>
  <si>
    <t>7P3BH</t>
  </si>
  <si>
    <t>TOT / DWELLING</t>
  </si>
  <si>
    <t>4 bed terrace</t>
  </si>
  <si>
    <t>3P2BF</t>
  </si>
  <si>
    <t>6P4BH</t>
  </si>
  <si>
    <t>ACG B4</t>
  </si>
  <si>
    <t>ACG B3</t>
  </si>
  <si>
    <t>2 bed terrace LCHO</t>
  </si>
  <si>
    <t>3 bed terrace LCHO</t>
  </si>
  <si>
    <t>2 bed terrace - SR</t>
  </si>
  <si>
    <t>1 bed flat - SR</t>
  </si>
  <si>
    <t>MV or ACG Tot</t>
  </si>
  <si>
    <t>2P1BF</t>
  </si>
  <si>
    <t>50% of MV</t>
  </si>
  <si>
    <t>£0.5 House</t>
  </si>
  <si>
    <t>3 bed terrace - SR</t>
  </si>
  <si>
    <t>RSL Cont 37% ACG</t>
  </si>
  <si>
    <t>2 bed flat - SR</t>
  </si>
  <si>
    <t>RSL Type</t>
  </si>
  <si>
    <t>add to S106 costs in DAT</t>
  </si>
  <si>
    <t>MV or ACG B3</t>
  </si>
  <si>
    <t>2 bed terrace - LCHO</t>
  </si>
  <si>
    <t>3 bed terrace - LCHO</t>
  </si>
  <si>
    <t>MV or ACG B2</t>
  </si>
  <si>
    <t>£0.25 House</t>
  </si>
  <si>
    <t>4P4BH</t>
  </si>
  <si>
    <t>£0.75 House</t>
  </si>
  <si>
    <t>MV or ACG B1</t>
  </si>
  <si>
    <t>Dwellings @ 20% LCHO</t>
  </si>
  <si>
    <t>Dwellings @ 80% SR</t>
  </si>
  <si>
    <t>25 DPH - 25% AH at specified 80/20 LPA mix</t>
  </si>
  <si>
    <t>Cost Part Dwelling</t>
  </si>
  <si>
    <t>30 DPH - 25% AH at specified 80/20 LPA mix</t>
  </si>
  <si>
    <t>35 DPH - 25% AH at specified 80/20 LPA mix</t>
  </si>
  <si>
    <t>40 DPH - 25% AH at specified 80/20 LPA mix</t>
  </si>
  <si>
    <t>25 DPH - 20% AH at specified 80/20 LPA mix</t>
  </si>
  <si>
    <t>30 DPH - 20% AH at specified 80/20 LPA mix</t>
  </si>
  <si>
    <t>35 DPH - 20% AH at specified 80/20 LPA mix</t>
  </si>
  <si>
    <t>40 DPH - 20% AH at specified 80/20 LPA mix</t>
  </si>
  <si>
    <t>25 DPH - 30% AH at specified 80/20 LPA mix</t>
  </si>
  <si>
    <t>30 DPH - 30% AH at specified 80/20 LPA mix</t>
  </si>
  <si>
    <t>35 DPH - 30% AH at specified 80/20 LPA mix</t>
  </si>
  <si>
    <t>40 DPH - 30% AH at specified 80/20 LPA mix</t>
  </si>
  <si>
    <t>5% AH</t>
  </si>
  <si>
    <t>Tested</t>
  </si>
  <si>
    <t>Result</t>
  </si>
  <si>
    <t>25 DPH - 5% AH at specified 80/20 LPA mix</t>
  </si>
  <si>
    <t>1 bed flat</t>
  </si>
  <si>
    <t>30 DPH - 5% AH at specified 80/20 LPA mix</t>
  </si>
  <si>
    <t>35 DPH - 5% AH at specified 80/20 LPA mix</t>
  </si>
  <si>
    <t>40 DPH - 5% AH at specified 80/20 LPA mix</t>
  </si>
  <si>
    <r>
      <t xml:space="preserve">MV or </t>
    </r>
    <r>
      <rPr>
        <b/>
        <sz val="11"/>
        <color rgb="FF00B050"/>
        <rFont val="Calibri"/>
        <family val="2"/>
        <scheme val="minor"/>
      </rPr>
      <t>ACG B4</t>
    </r>
  </si>
  <si>
    <r>
      <t xml:space="preserve">MV or </t>
    </r>
    <r>
      <rPr>
        <b/>
        <sz val="11"/>
        <color rgb="FF00B050"/>
        <rFont val="Calibri"/>
        <family val="2"/>
        <scheme val="minor"/>
      </rPr>
      <t>ACG Tot</t>
    </r>
  </si>
  <si>
    <t>MV for DAT</t>
  </si>
  <si>
    <t>Density</t>
  </si>
  <si>
    <t>Housing Sub Market Areas</t>
  </si>
  <si>
    <t>Pontypool</t>
  </si>
  <si>
    <t>25% AH</t>
  </si>
  <si>
    <t>Cwmbran N&amp;W</t>
  </si>
  <si>
    <t>20% AH</t>
  </si>
  <si>
    <t>Cwmbran S&amp;E</t>
  </si>
  <si>
    <t>30% AH</t>
  </si>
  <si>
    <t>25 dph</t>
  </si>
  <si>
    <t>SR</t>
  </si>
  <si>
    <t>1 x 1 bed flat</t>
  </si>
  <si>
    <t>CS</t>
  </si>
  <si>
    <t>LCHO</t>
  </si>
  <si>
    <t>1 x 2 bed house</t>
  </si>
  <si>
    <t>4 x 1 bed flat</t>
  </si>
  <si>
    <t xml:space="preserve"> SR</t>
  </si>
  <si>
    <t>2 x 1 bed flat</t>
  </si>
  <si>
    <t>2 x 2 bed house</t>
  </si>
  <si>
    <t>30 dph</t>
  </si>
  <si>
    <t>house</t>
  </si>
  <si>
    <t xml:space="preserve">1 x 2 bed house </t>
  </si>
  <si>
    <t>1 x 3 bed house</t>
  </si>
  <si>
    <t>3 x 2 bed house</t>
  </si>
  <si>
    <t>2 x 3 bed house</t>
  </si>
  <si>
    <t>35 dph</t>
  </si>
  <si>
    <t xml:space="preserve">1 x 3 bed house </t>
  </si>
  <si>
    <t xml:space="preserve">2 x 2 bed house </t>
  </si>
  <si>
    <t>4 x 2 bed house</t>
  </si>
  <si>
    <t>40 dph</t>
  </si>
  <si>
    <t xml:space="preserve">  </t>
  </si>
  <si>
    <t>2 x 2 bed flat</t>
  </si>
  <si>
    <t>3 x 3 bed house</t>
  </si>
  <si>
    <t>North Torfaen</t>
  </si>
  <si>
    <t>ACG B1</t>
  </si>
  <si>
    <t>25 DPH - ACG Value of all dwellings</t>
  </si>
  <si>
    <t>30 DPH - ACG Value of all dwellings</t>
  </si>
  <si>
    <t>35 DPH - ACG Value of all dwellings</t>
  </si>
  <si>
    <t>£45,270 for ½</t>
  </si>
  <si>
    <t>£62,051 for 3/4 house</t>
  </si>
  <si>
    <t>ACG B2</t>
  </si>
  <si>
    <t>£24,478 for 1/4 house - West</t>
  </si>
  <si>
    <t>£47,070 for ½ house - West</t>
  </si>
  <si>
    <t>£66,544 for 3/4 house - West</t>
  </si>
  <si>
    <t>£25,931 for 1/4 house - East</t>
  </si>
  <si>
    <t>£49,832 for ½ house - East</t>
  </si>
  <si>
    <t>£69,387 for 3/4 house - East</t>
  </si>
  <si>
    <t>7P4BH</t>
  </si>
  <si>
    <t>£54,734 for ½ house</t>
  </si>
  <si>
    <t>£54,552 for ½ house</t>
  </si>
  <si>
    <t>5% of ACG Total</t>
  </si>
  <si>
    <t>£23,271 for 1/4 house</t>
  </si>
  <si>
    <t>25% of ACG Total</t>
  </si>
  <si>
    <t>30% of ACG Total</t>
  </si>
  <si>
    <t>Dwelling Type</t>
  </si>
  <si>
    <t>2 Bed Terrace</t>
  </si>
  <si>
    <t>3 Bed Terrace</t>
  </si>
  <si>
    <t>4 Bed Terrace</t>
  </si>
  <si>
    <t>3 Bed Semi</t>
  </si>
  <si>
    <t>4 Bed Semi</t>
  </si>
  <si>
    <t>3 Bed Detached</t>
  </si>
  <si>
    <t>4 Bed Detached</t>
  </si>
  <si>
    <t>5 Bed Detached</t>
  </si>
  <si>
    <t>Pontypool West</t>
  </si>
  <si>
    <t>Pontypool East</t>
  </si>
  <si>
    <t>Cwmbran North &amp; West</t>
  </si>
  <si>
    <t>Cwmbran South &amp; East</t>
  </si>
  <si>
    <t>1 Bed Bungalow</t>
  </si>
  <si>
    <t>2 Bed Bungalow</t>
  </si>
  <si>
    <t>1 Bed Flat</t>
  </si>
  <si>
    <t>2 Bed Flat</t>
  </si>
  <si>
    <t>Developer Cont 60.4%</t>
  </si>
  <si>
    <t>RSL income in DAT</t>
  </si>
  <si>
    <t>Unit Type</t>
  </si>
  <si>
    <t>Band 1</t>
  </si>
  <si>
    <t>Band 2</t>
  </si>
  <si>
    <t>Band 3</t>
  </si>
  <si>
    <t>Band 4</t>
  </si>
  <si>
    <t>2 Person 1 Bed Flat</t>
  </si>
  <si>
    <t>3 Person 2 Bed Flat</t>
  </si>
  <si>
    <t>3 Person 2 Bed Bungalow</t>
  </si>
  <si>
    <t>4 Person 2 Bed House</t>
  </si>
  <si>
    <t>4 Person 3 Bed House</t>
  </si>
  <si>
    <t>5 Person 3 Bed House</t>
  </si>
  <si>
    <t>6 Person 4 bed House</t>
  </si>
  <si>
    <t>7 Person 4 Bed House</t>
  </si>
  <si>
    <t>WG ACG Values (April 2015)</t>
  </si>
  <si>
    <t>ACG Band</t>
  </si>
  <si>
    <t>Community Council Area</t>
  </si>
  <si>
    <t>Abersychan, Blaenavon and Trevethin</t>
  </si>
  <si>
    <t>Panteg, Pentranch and Pontymoile</t>
  </si>
  <si>
    <t>Cwmbran Central, Fairwater, New Inn and Pontnewydd</t>
  </si>
  <si>
    <t>Croesyceiliog, Henllys, Llantarnam, Llanyravon, Ponthir and Upper Cwmbran</t>
  </si>
  <si>
    <r>
      <t>ACG £/M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</si>
  <si>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Total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</si>
  <si>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Market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</si>
  <si>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Total AH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</si>
  <si>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Housing Sub-Market Area - Sales Values (Aug 2017)</t>
  </si>
  <si>
    <r>
      <t>Size (m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</si>
  <si>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LTT Calculator</t>
  </si>
  <si>
    <r>
      <rPr>
        <u/>
        <sz val="12"/>
        <color theme="1"/>
        <rFont val="Arial"/>
        <family val="2"/>
      </rPr>
      <t>Only</t>
    </r>
    <r>
      <rPr>
        <sz val="12"/>
        <color theme="1"/>
        <rFont val="Arial"/>
        <family val="2"/>
      </rPr>
      <t xml:space="preserve"> input </t>
    </r>
    <r>
      <rPr>
        <sz val="12"/>
        <color rgb="FF0070C0"/>
        <rFont val="Arial"/>
        <family val="2"/>
      </rPr>
      <t>Land Price</t>
    </r>
    <r>
      <rPr>
        <sz val="12"/>
        <color theme="1"/>
        <rFont val="Arial"/>
        <family val="2"/>
      </rPr>
      <t xml:space="preserve"> in </t>
    </r>
    <r>
      <rPr>
        <u/>
        <sz val="12"/>
        <color theme="1"/>
        <rFont val="Arial"/>
        <family val="2"/>
      </rPr>
      <t>one</t>
    </r>
    <r>
      <rPr>
        <sz val="12"/>
        <color theme="1"/>
        <rFont val="Arial"/>
        <family val="2"/>
      </rPr>
      <t xml:space="preserve"> of the 3 </t>
    </r>
    <r>
      <rPr>
        <u/>
        <sz val="12"/>
        <color theme="1"/>
        <rFont val="Arial"/>
        <family val="2"/>
      </rPr>
      <t>relevant</t>
    </r>
    <r>
      <rPr>
        <sz val="12"/>
        <color theme="1"/>
        <rFont val="Arial"/>
        <family val="2"/>
      </rPr>
      <t xml:space="preserve"> boxes below</t>
    </r>
  </si>
  <si>
    <t>Price Threshold</t>
  </si>
  <si>
    <t>Rates</t>
  </si>
  <si>
    <t>Up to £150,000</t>
  </si>
  <si>
    <t>£150,000 - £250,000</t>
  </si>
  <si>
    <t>The next £100,000 (£150,001 - £250,000)</t>
  </si>
  <si>
    <t>Land Price</t>
  </si>
  <si>
    <t>The next £750,000 (£250,001 - £1,000,000)</t>
  </si>
  <si>
    <t>TOTAL LTT (1.0%)</t>
  </si>
  <si>
    <t>The remaining amount (above £1.5 million)</t>
  </si>
  <si>
    <t>£250,001 - £1,000,000</t>
  </si>
  <si>
    <t>LTT £150k - £250k (1.0%)</t>
  </si>
  <si>
    <t>LTT £250k - £1m (5.0%)</t>
  </si>
  <si>
    <t>TOTAL LTT</t>
  </si>
  <si>
    <t>£1,000,000 Plus</t>
  </si>
  <si>
    <t>LTT £1m Plus (6.0%)</t>
  </si>
  <si>
    <t>Future Land Transaction Tax - Commercial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</si>
</sst>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164" formatCode="&quot;£&quot;#,##0"/>
    <numFmt numFmtId="165" formatCode="&quot;£&quot;#,##0.00"/>
    <numFmt numFmtId="166" formatCode="0.0"/>
    <numFmt numFmtId="167" formatCode="0.0%"/>
  </numFmts>
  <fonts count="4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2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204">
    <xf numFmtId="0" fontId="0" fillId="0" borderId="0" xfId="0"/>
    <xf numFmtId="3" fontId="2" fillId="0" borderId="10" xfId="0" applyNumberFormat="1" applyFont="1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/>
    <xf numFmtId="0" fontId="0" fillId="0" borderId="0" xfId="0" applyFont="1"/>
    <xf numFmtId="0" fontId="2" fillId="0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164" fontId="1" fillId="0" borderId="10" xfId="0" applyNumberFormat="1" applyFont="1" applyBorder="1"/>
    <xf numFmtId="164" fontId="0" fillId="0" borderId="10" xfId="0" applyNumberFormat="1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4" fontId="0" fillId="0" borderId="10" xfId="0" applyNumberFormat="1" applyFont="1" applyBorder="1"/>
    <xf numFmtId="0" fontId="0" fillId="0" borderId="10" xfId="0" applyFont="1" applyBorder="1"/>
    <xf numFmtId="0" fontId="21" fillId="24" borderId="10" xfId="43" applyFont="1" applyFill="1" applyBorder="1" applyAlignment="1" applyProtection="1">
      <alignment horizontal="center"/>
      <protection locked="0"/>
    </xf>
    <xf numFmtId="0" fontId="25" fillId="24" borderId="10" xfId="43" applyFont="1" applyFill="1" applyBorder="1" applyAlignment="1" applyProtection="1">
      <alignment horizontal="center"/>
      <protection locked="0"/>
    </xf>
    <xf numFmtId="0" fontId="25" fillId="0" borderId="10" xfId="0" applyFont="1" applyBorder="1" applyAlignment="1">
      <alignment horizontal="center"/>
    </xf>
    <xf numFmtId="164" fontId="25" fillId="0" borderId="10" xfId="0" applyNumberFormat="1" applyFont="1" applyBorder="1" applyAlignment="1">
      <alignment horizontal="center"/>
    </xf>
    <xf numFmtId="0" fontId="21" fillId="0" borderId="0" xfId="0" applyFont="1"/>
    <xf numFmtId="0" fontId="25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right"/>
    </xf>
    <xf numFmtId="0" fontId="21" fillId="24" borderId="0" xfId="43" applyFon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/>
    <xf numFmtId="164" fontId="21" fillId="0" borderId="0" xfId="0" applyNumberFormat="1" applyFont="1"/>
    <xf numFmtId="164" fontId="26" fillId="0" borderId="10" xfId="0" applyNumberFormat="1" applyFont="1" applyBorder="1" applyAlignment="1">
      <alignment horizontal="center"/>
    </xf>
    <xf numFmtId="0" fontId="25" fillId="0" borderId="10" xfId="0" applyFont="1" applyBorder="1"/>
    <xf numFmtId="164" fontId="26" fillId="0" borderId="10" xfId="0" applyNumberFormat="1" applyFont="1" applyBorder="1"/>
    <xf numFmtId="0" fontId="2" fillId="0" borderId="10" xfId="0" applyFont="1" applyBorder="1" applyAlignment="1">
      <alignment horizontal="right"/>
    </xf>
    <xf numFmtId="164" fontId="2" fillId="0" borderId="10" xfId="0" applyNumberFormat="1" applyFont="1" applyBorder="1"/>
    <xf numFmtId="164" fontId="24" fillId="0" borderId="10" xfId="0" applyNumberFormat="1" applyFont="1" applyBorder="1"/>
    <xf numFmtId="0" fontId="2" fillId="0" borderId="10" xfId="0" applyFont="1" applyBorder="1"/>
    <xf numFmtId="164" fontId="25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4" fontId="24" fillId="0" borderId="0" xfId="0" applyNumberFormat="1" applyFont="1" applyBorder="1"/>
    <xf numFmtId="0" fontId="22" fillId="0" borderId="10" xfId="0" applyFont="1" applyBorder="1"/>
    <xf numFmtId="3" fontId="0" fillId="0" borderId="0" xfId="0" applyNumberFormat="1" applyFont="1"/>
    <xf numFmtId="164" fontId="25" fillId="0" borderId="10" xfId="0" applyNumberFormat="1" applyFont="1" applyFill="1" applyBorder="1" applyAlignment="1">
      <alignment horizontal="center"/>
    </xf>
    <xf numFmtId="164" fontId="26" fillId="0" borderId="10" xfId="0" applyNumberFormat="1" applyFont="1" applyFill="1" applyBorder="1" applyAlignment="1">
      <alignment horizontal="center"/>
    </xf>
    <xf numFmtId="164" fontId="25" fillId="0" borderId="10" xfId="0" applyNumberFormat="1" applyFont="1" applyFill="1" applyBorder="1" applyAlignment="1">
      <alignment horizontal="right"/>
    </xf>
    <xf numFmtId="0" fontId="22" fillId="0" borderId="10" xfId="0" applyFont="1" applyBorder="1" applyAlignment="1">
      <alignment horizontal="right"/>
    </xf>
    <xf numFmtId="0" fontId="0" fillId="0" borderId="0" xfId="0" applyFont="1" applyBorder="1"/>
    <xf numFmtId="0" fontId="25" fillId="0" borderId="12" xfId="0" applyFont="1" applyBorder="1"/>
    <xf numFmtId="0" fontId="2" fillId="0" borderId="0" xfId="0" applyFont="1" applyBorder="1"/>
    <xf numFmtId="164" fontId="25" fillId="0" borderId="10" xfId="0" applyNumberFormat="1" applyFont="1" applyFill="1" applyBorder="1" applyAlignment="1">
      <alignment horizontal="center" wrapText="1"/>
    </xf>
    <xf numFmtId="164" fontId="26" fillId="0" borderId="10" xfId="0" applyNumberFormat="1" applyFont="1" applyFill="1" applyBorder="1" applyAlignment="1">
      <alignment horizontal="center" wrapText="1"/>
    </xf>
    <xf numFmtId="164" fontId="2" fillId="0" borderId="0" xfId="0" applyNumberFormat="1" applyFont="1" applyBorder="1"/>
    <xf numFmtId="0" fontId="26" fillId="0" borderId="10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164" fontId="24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0" fillId="0" borderId="0" xfId="0" applyFont="1" applyAlignment="1"/>
    <xf numFmtId="0" fontId="0" fillId="0" borderId="10" xfId="0" applyFont="1" applyBorder="1" applyAlignment="1"/>
    <xf numFmtId="3" fontId="2" fillId="0" borderId="10" xfId="0" applyNumberFormat="1" applyFont="1" applyBorder="1" applyAlignment="1"/>
    <xf numFmtId="3" fontId="0" fillId="0" borderId="0" xfId="0" applyNumberFormat="1" applyFont="1" applyAlignment="1"/>
    <xf numFmtId="0" fontId="29" fillId="0" borderId="10" xfId="0" applyFont="1" applyBorder="1"/>
    <xf numFmtId="0" fontId="30" fillId="0" borderId="10" xfId="0" applyFont="1" applyBorder="1"/>
    <xf numFmtId="3" fontId="31" fillId="0" borderId="10" xfId="0" applyNumberFormat="1" applyFont="1" applyBorder="1"/>
    <xf numFmtId="3" fontId="31" fillId="0" borderId="11" xfId="0" applyNumberFormat="1" applyFont="1" applyBorder="1"/>
    <xf numFmtId="2" fontId="0" fillId="0" borderId="0" xfId="0" applyNumberFormat="1" applyFont="1"/>
    <xf numFmtId="1" fontId="0" fillId="0" borderId="0" xfId="0" applyNumberFormat="1" applyFont="1"/>
    <xf numFmtId="1" fontId="0" fillId="0" borderId="0" xfId="0" applyNumberFormat="1"/>
    <xf numFmtId="166" fontId="0" fillId="0" borderId="0" xfId="0" applyNumberFormat="1"/>
    <xf numFmtId="166" fontId="0" fillId="0" borderId="0" xfId="0" applyNumberFormat="1" applyFont="1"/>
    <xf numFmtId="3" fontId="31" fillId="0" borderId="10" xfId="0" applyNumberFormat="1" applyFont="1" applyBorder="1" applyAlignment="1"/>
    <xf numFmtId="3" fontId="31" fillId="0" borderId="11" xfId="0" applyNumberFormat="1" applyFont="1" applyBorder="1" applyAlignment="1"/>
    <xf numFmtId="2" fontId="2" fillId="0" borderId="0" xfId="0" applyNumberFormat="1" applyFont="1"/>
    <xf numFmtId="0" fontId="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164" fontId="21" fillId="0" borderId="10" xfId="0" applyNumberFormat="1" applyFont="1" applyFill="1" applyBorder="1" applyAlignment="1">
      <alignment horizontal="center"/>
    </xf>
    <xf numFmtId="164" fontId="28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right"/>
    </xf>
    <xf numFmtId="0" fontId="21" fillId="0" borderId="10" xfId="0" applyFont="1" applyBorder="1"/>
    <xf numFmtId="0" fontId="21" fillId="25" borderId="10" xfId="43" applyFont="1" applyFill="1" applyBorder="1" applyAlignment="1" applyProtection="1">
      <alignment horizontal="center"/>
      <protection locked="0"/>
    </xf>
    <xf numFmtId="164" fontId="21" fillId="0" borderId="10" xfId="0" applyNumberFormat="1" applyFont="1" applyBorder="1" applyAlignment="1">
      <alignment horizontal="center"/>
    </xf>
    <xf numFmtId="164" fontId="28" fillId="0" borderId="10" xfId="0" applyNumberFormat="1" applyFont="1" applyBorder="1" applyAlignment="1">
      <alignment horizontal="center"/>
    </xf>
    <xf numFmtId="0" fontId="32" fillId="0" borderId="10" xfId="0" applyFont="1" applyFill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/>
    </xf>
    <xf numFmtId="0" fontId="34" fillId="0" borderId="0" xfId="0" applyFont="1"/>
    <xf numFmtId="164" fontId="34" fillId="0" borderId="0" xfId="0" applyNumberFormat="1" applyFont="1" applyBorder="1" applyAlignment="1">
      <alignment horizontal="center"/>
    </xf>
    <xf numFmtId="0" fontId="34" fillId="0" borderId="0" xfId="0" applyFont="1" applyBorder="1"/>
    <xf numFmtId="164" fontId="21" fillId="0" borderId="10" xfId="0" applyNumberFormat="1" applyFont="1" applyFill="1" applyBorder="1" applyAlignment="1">
      <alignment horizontal="center" wrapText="1"/>
    </xf>
    <xf numFmtId="0" fontId="1" fillId="0" borderId="13" xfId="0" applyFont="1" applyBorder="1" applyAlignment="1">
      <alignment horizontal="right"/>
    </xf>
    <xf numFmtId="164" fontId="1" fillId="0" borderId="13" xfId="0" applyNumberFormat="1" applyFont="1" applyBorder="1"/>
    <xf numFmtId="0" fontId="1" fillId="0" borderId="10" xfId="0" applyFont="1" applyBorder="1" applyAlignment="1">
      <alignment horizontal="right"/>
    </xf>
    <xf numFmtId="3" fontId="21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164" fontId="1" fillId="0" borderId="0" xfId="0" applyNumberFormat="1" applyFont="1" applyBorder="1" applyAlignment="1">
      <alignment horizontal="right"/>
    </xf>
    <xf numFmtId="165" fontId="0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4" fontId="27" fillId="0" borderId="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3" fontId="2" fillId="0" borderId="0" xfId="0" applyNumberFormat="1" applyFont="1"/>
    <xf numFmtId="164" fontId="1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28" fillId="0" borderId="0" xfId="0" applyNumberFormat="1" applyFont="1" applyBorder="1"/>
    <xf numFmtId="0" fontId="0" fillId="0" borderId="0" xfId="0" applyFont="1" applyFill="1"/>
    <xf numFmtId="1" fontId="2" fillId="0" borderId="0" xfId="0" applyNumberFormat="1" applyFont="1"/>
    <xf numFmtId="166" fontId="2" fillId="0" borderId="0" xfId="0" applyNumberFormat="1" applyFont="1"/>
    <xf numFmtId="1" fontId="2" fillId="0" borderId="0" xfId="0" applyNumberFormat="1" applyFont="1" applyFill="1"/>
    <xf numFmtId="164" fontId="21" fillId="0" borderId="10" xfId="0" applyNumberFormat="1" applyFont="1" applyBorder="1"/>
    <xf numFmtId="164" fontId="33" fillId="0" borderId="10" xfId="0" applyNumberFormat="1" applyFont="1" applyFill="1" applyBorder="1" applyAlignment="1">
      <alignment horizontal="center" wrapText="1"/>
    </xf>
    <xf numFmtId="164" fontId="33" fillId="0" borderId="10" xfId="0" applyNumberFormat="1" applyFont="1" applyFill="1" applyBorder="1" applyAlignment="1">
      <alignment horizontal="center"/>
    </xf>
    <xf numFmtId="0" fontId="21" fillId="24" borderId="12" xfId="43" applyFont="1" applyFill="1" applyBorder="1" applyAlignment="1" applyProtection="1">
      <alignment horizontal="center"/>
      <protection locked="0"/>
    </xf>
    <xf numFmtId="0" fontId="36" fillId="0" borderId="0" xfId="0" applyFont="1"/>
    <xf numFmtId="0" fontId="37" fillId="0" borderId="20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wrapText="1"/>
    </xf>
    <xf numFmtId="0" fontId="36" fillId="0" borderId="2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36" fillId="0" borderId="29" xfId="0" applyFont="1" applyBorder="1"/>
    <xf numFmtId="1" fontId="36" fillId="0" borderId="29" xfId="0" applyNumberFormat="1" applyFont="1" applyBorder="1" applyAlignment="1">
      <alignment horizontal="center"/>
    </xf>
    <xf numFmtId="6" fontId="36" fillId="0" borderId="32" xfId="0" applyNumberFormat="1" applyFont="1" applyFill="1" applyBorder="1" applyAlignment="1">
      <alignment horizontal="center"/>
    </xf>
    <xf numFmtId="0" fontId="36" fillId="0" borderId="27" xfId="0" applyFont="1" applyBorder="1"/>
    <xf numFmtId="0" fontId="36" fillId="0" borderId="32" xfId="0" applyFont="1" applyBorder="1" applyAlignment="1">
      <alignment horizontal="center"/>
    </xf>
    <xf numFmtId="6" fontId="36" fillId="0" borderId="32" xfId="0" applyNumberFormat="1" applyFont="1" applyBorder="1" applyAlignment="1">
      <alignment horizontal="center"/>
    </xf>
    <xf numFmtId="6" fontId="36" fillId="0" borderId="36" xfId="0" applyNumberFormat="1" applyFont="1" applyBorder="1" applyAlignment="1">
      <alignment horizontal="center"/>
    </xf>
    <xf numFmtId="0" fontId="40" fillId="0" borderId="20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36" fillId="0" borderId="30" xfId="0" applyFont="1" applyBorder="1"/>
    <xf numFmtId="1" fontId="36" fillId="0" borderId="30" xfId="0" applyNumberFormat="1" applyFont="1" applyBorder="1" applyAlignment="1">
      <alignment horizontal="center"/>
    </xf>
    <xf numFmtId="6" fontId="36" fillId="0" borderId="30" xfId="0" applyNumberFormat="1" applyFont="1" applyFill="1" applyBorder="1" applyAlignment="1">
      <alignment horizontal="center"/>
    </xf>
    <xf numFmtId="0" fontId="36" fillId="0" borderId="34" xfId="0" applyFont="1" applyBorder="1"/>
    <xf numFmtId="0" fontId="36" fillId="0" borderId="30" xfId="0" applyFont="1" applyBorder="1" applyAlignment="1">
      <alignment horizontal="center"/>
    </xf>
    <xf numFmtId="6" fontId="36" fillId="0" borderId="30" xfId="0" applyNumberFormat="1" applyFont="1" applyBorder="1" applyAlignment="1">
      <alignment horizontal="center"/>
    </xf>
    <xf numFmtId="6" fontId="36" fillId="0" borderId="37" xfId="0" applyNumberFormat="1" applyFont="1" applyBorder="1" applyAlignment="1">
      <alignment horizontal="center"/>
    </xf>
    <xf numFmtId="0" fontId="40" fillId="0" borderId="18" xfId="0" applyFont="1" applyBorder="1" applyAlignment="1">
      <alignment horizontal="center" vertical="center" wrapText="1"/>
    </xf>
    <xf numFmtId="0" fontId="36" fillId="0" borderId="20" xfId="0" applyFont="1" applyBorder="1" applyAlignment="1">
      <alignment vertical="top" wrapText="1"/>
    </xf>
    <xf numFmtId="0" fontId="36" fillId="0" borderId="18" xfId="0" applyFont="1" applyBorder="1" applyAlignment="1">
      <alignment vertical="top" wrapText="1"/>
    </xf>
    <xf numFmtId="0" fontId="41" fillId="0" borderId="18" xfId="0" applyFont="1" applyBorder="1" applyAlignment="1">
      <alignment horizontal="center" vertical="center" wrapText="1"/>
    </xf>
    <xf numFmtId="0" fontId="36" fillId="0" borderId="35" xfId="0" applyFont="1" applyBorder="1"/>
    <xf numFmtId="0" fontId="36" fillId="0" borderId="31" xfId="0" applyFont="1" applyBorder="1" applyAlignment="1">
      <alignment horizontal="center"/>
    </xf>
    <xf numFmtId="6" fontId="36" fillId="0" borderId="31" xfId="0" applyNumberFormat="1" applyFont="1" applyBorder="1" applyAlignment="1">
      <alignment horizontal="center"/>
    </xf>
    <xf numFmtId="6" fontId="36" fillId="0" borderId="38" xfId="0" applyNumberFormat="1" applyFont="1" applyBorder="1" applyAlignment="1">
      <alignment horizontal="center"/>
    </xf>
    <xf numFmtId="0" fontId="36" fillId="0" borderId="15" xfId="0" applyFont="1" applyBorder="1" applyAlignment="1">
      <alignment vertical="top" wrapText="1"/>
    </xf>
    <xf numFmtId="0" fontId="41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vertical="top" wrapText="1"/>
    </xf>
    <xf numFmtId="0" fontId="40" fillId="0" borderId="16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1" xfId="0" applyFont="1" applyBorder="1"/>
    <xf numFmtId="6" fontId="36" fillId="0" borderId="31" xfId="0" applyNumberFormat="1" applyFont="1" applyFill="1" applyBorder="1" applyAlignment="1">
      <alignment horizontal="center"/>
    </xf>
    <xf numFmtId="0" fontId="36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6" fontId="36" fillId="0" borderId="0" xfId="0" applyNumberFormat="1" applyFont="1"/>
    <xf numFmtId="0" fontId="41" fillId="0" borderId="16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6" fontId="36" fillId="0" borderId="29" xfId="0" applyNumberFormat="1" applyFont="1" applyFill="1" applyBorder="1" applyAlignment="1">
      <alignment horizontal="center"/>
    </xf>
    <xf numFmtId="6" fontId="36" fillId="0" borderId="16" xfId="0" applyNumberFormat="1" applyFont="1" applyFill="1" applyBorder="1" applyAlignment="1">
      <alignment horizontal="center"/>
    </xf>
    <xf numFmtId="0" fontId="37" fillId="0" borderId="10" xfId="0" applyFont="1" applyBorder="1"/>
    <xf numFmtId="0" fontId="40" fillId="0" borderId="0" xfId="0" applyFont="1"/>
    <xf numFmtId="0" fontId="37" fillId="0" borderId="0" xfId="0" applyFont="1"/>
    <xf numFmtId="164" fontId="40" fillId="0" borderId="0" xfId="0" applyNumberFormat="1" applyFont="1"/>
    <xf numFmtId="0" fontId="40" fillId="0" borderId="10" xfId="0" applyFont="1" applyBorder="1"/>
    <xf numFmtId="167" fontId="40" fillId="0" borderId="10" xfId="0" applyNumberFormat="1" applyFont="1" applyBorder="1"/>
    <xf numFmtId="0" fontId="44" fillId="0" borderId="0" xfId="0" applyFont="1"/>
    <xf numFmtId="164" fontId="45" fillId="0" borderId="22" xfId="0" applyNumberFormat="1" applyFont="1" applyBorder="1"/>
    <xf numFmtId="0" fontId="37" fillId="0" borderId="0" xfId="0" applyFont="1" applyAlignment="1">
      <alignment horizontal="right"/>
    </xf>
    <xf numFmtId="164" fontId="46" fillId="0" borderId="0" xfId="0" applyNumberFormat="1" applyFont="1"/>
    <xf numFmtId="0" fontId="40" fillId="0" borderId="0" xfId="0" applyFont="1" applyBorder="1"/>
    <xf numFmtId="167" fontId="40" fillId="0" borderId="0" xfId="0" applyNumberFormat="1" applyFont="1" applyBorder="1"/>
    <xf numFmtId="0" fontId="37" fillId="0" borderId="17" xfId="0" applyFont="1" applyBorder="1" applyAlignment="1">
      <alignment vertical="center" wrapText="1"/>
    </xf>
    <xf numFmtId="0" fontId="37" fillId="0" borderId="18" xfId="0" applyFont="1" applyBorder="1" applyAlignment="1">
      <alignment vertical="center" wrapText="1"/>
    </xf>
    <xf numFmtId="0" fontId="37" fillId="0" borderId="16" xfId="0" applyFont="1" applyBorder="1" applyAlignment="1">
      <alignment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6" fillId="0" borderId="24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23" xfId="0" applyFont="1" applyBorder="1" applyAlignment="1">
      <alignment horizontal="left"/>
    </xf>
    <xf numFmtId="0" fontId="36" fillId="0" borderId="37" xfId="0" applyFont="1" applyBorder="1" applyAlignment="1">
      <alignment horizontal="left"/>
    </xf>
    <xf numFmtId="0" fontId="36" fillId="0" borderId="33" xfId="0" applyFont="1" applyBorder="1" applyAlignment="1">
      <alignment horizontal="left"/>
    </xf>
    <xf numFmtId="0" fontId="36" fillId="0" borderId="38" xfId="0" applyFont="1" applyBorder="1" applyAlignment="1">
      <alignment horizontal="left"/>
    </xf>
    <xf numFmtId="0" fontId="36" fillId="0" borderId="39" xfId="0" applyFont="1" applyBorder="1" applyAlignment="1">
      <alignment horizontal="left"/>
    </xf>
    <xf numFmtId="0" fontId="36" fillId="0" borderId="25" xfId="0" applyFont="1" applyBorder="1" applyAlignment="1">
      <alignment horizontal="left"/>
    </xf>
    <xf numFmtId="0" fontId="36" fillId="0" borderId="26" xfId="0" applyFont="1" applyBorder="1" applyAlignment="1">
      <alignment horizontal="left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_Sheet1" xfId="43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7"/>
  <sheetViews>
    <sheetView tabSelected="1" workbookViewId="0">
      <selection activeCell="Z18" sqref="Z18"/>
    </sheetView>
  </sheetViews>
  <sheetFormatPr defaultRowHeight="14.25" x14ac:dyDescent="0.2"/>
  <cols>
    <col min="1" max="1" width="4.140625" style="122" customWidth="1"/>
    <col min="2" max="2" width="10.28515625" style="122" customWidth="1"/>
    <col min="3" max="3" width="23.42578125" style="122" customWidth="1"/>
    <col min="4" max="4" width="30.7109375" style="122" bestFit="1" customWidth="1"/>
    <col min="5" max="5" width="17.42578125" style="122" customWidth="1"/>
    <col min="6" max="6" width="22.140625" style="122" bestFit="1" customWidth="1"/>
    <col min="7" max="7" width="5.140625" style="122" customWidth="1"/>
    <col min="8" max="8" width="16.28515625" style="122" bestFit="1" customWidth="1"/>
    <col min="9" max="9" width="5.85546875" style="122" customWidth="1"/>
    <col min="10" max="10" width="10" style="122" customWidth="1"/>
    <col min="11" max="11" width="10.5703125" style="122" customWidth="1"/>
    <col min="12" max="12" width="10.42578125" style="122" customWidth="1"/>
    <col min="13" max="13" width="13.28515625" style="122" customWidth="1"/>
    <col min="14" max="14" width="13.85546875" style="122" customWidth="1"/>
    <col min="15" max="15" width="5" style="122" customWidth="1"/>
    <col min="16" max="16" width="25.7109375" style="122" bestFit="1" customWidth="1"/>
    <col min="17" max="17" width="5.85546875" style="122" customWidth="1"/>
    <col min="18" max="18" width="10.42578125" style="122" bestFit="1" customWidth="1"/>
    <col min="19" max="21" width="9.5703125" style="122" bestFit="1" customWidth="1"/>
    <col min="22" max="25" width="9.140625" style="122"/>
    <col min="26" max="26" width="45.7109375" style="122" bestFit="1" customWidth="1"/>
    <col min="27" max="27" width="7.5703125" style="122" bestFit="1" customWidth="1"/>
    <col min="28" max="28" width="4.7109375" style="122" customWidth="1"/>
    <col min="29" max="29" width="27.85546875" style="122" bestFit="1" customWidth="1"/>
    <col min="30" max="30" width="14.28515625" style="122" customWidth="1"/>
    <col min="31" max="16384" width="9.140625" style="122"/>
  </cols>
  <sheetData>
    <row r="1" spans="2:31" ht="15" thickBot="1" x14ac:dyDescent="0.25"/>
    <row r="2" spans="2:31" ht="16.5" customHeight="1" thickBot="1" x14ac:dyDescent="0.3">
      <c r="B2" s="180" t="s">
        <v>70</v>
      </c>
      <c r="C2" s="183" t="s">
        <v>71</v>
      </c>
      <c r="D2" s="184"/>
      <c r="E2" s="184"/>
      <c r="F2" s="185"/>
      <c r="H2" s="186" t="s">
        <v>123</v>
      </c>
      <c r="I2" s="188" t="s">
        <v>167</v>
      </c>
      <c r="J2" s="190" t="s">
        <v>166</v>
      </c>
      <c r="K2" s="191"/>
      <c r="L2" s="191"/>
      <c r="M2" s="191"/>
      <c r="N2" s="192"/>
      <c r="P2" s="193" t="s">
        <v>142</v>
      </c>
      <c r="Q2" s="188" t="s">
        <v>167</v>
      </c>
      <c r="R2" s="190" t="s">
        <v>155</v>
      </c>
      <c r="S2" s="191"/>
      <c r="T2" s="191"/>
      <c r="U2" s="192"/>
      <c r="Z2" s="168" t="s">
        <v>185</v>
      </c>
      <c r="AA2" s="168"/>
      <c r="AB2" s="169"/>
      <c r="AC2" s="170" t="s">
        <v>168</v>
      </c>
      <c r="AD2" s="171" t="s">
        <v>169</v>
      </c>
      <c r="AE2" s="169"/>
    </row>
    <row r="3" spans="2:31" ht="29.25" customHeight="1" thickBot="1" x14ac:dyDescent="0.3">
      <c r="B3" s="181"/>
      <c r="C3" s="123" t="s">
        <v>102</v>
      </c>
      <c r="D3" s="123" t="s">
        <v>72</v>
      </c>
      <c r="E3" s="123" t="s">
        <v>74</v>
      </c>
      <c r="F3" s="123" t="s">
        <v>76</v>
      </c>
      <c r="H3" s="187"/>
      <c r="I3" s="189"/>
      <c r="J3" s="124" t="s">
        <v>102</v>
      </c>
      <c r="K3" s="124" t="s">
        <v>132</v>
      </c>
      <c r="L3" s="124" t="s">
        <v>133</v>
      </c>
      <c r="M3" s="124" t="s">
        <v>134</v>
      </c>
      <c r="N3" s="124" t="s">
        <v>135</v>
      </c>
      <c r="P3" s="194"/>
      <c r="Q3" s="189"/>
      <c r="R3" s="125" t="s">
        <v>143</v>
      </c>
      <c r="S3" s="125" t="s">
        <v>144</v>
      </c>
      <c r="T3" s="125" t="s">
        <v>145</v>
      </c>
      <c r="U3" s="126" t="s">
        <v>146</v>
      </c>
      <c r="Z3" s="168" t="s">
        <v>170</v>
      </c>
      <c r="AA3" s="168" t="s">
        <v>171</v>
      </c>
      <c r="AB3" s="169"/>
      <c r="AC3" s="169"/>
      <c r="AD3" s="171"/>
      <c r="AE3" s="169"/>
    </row>
    <row r="4" spans="2:31" ht="16.5" thickBot="1" x14ac:dyDescent="0.3">
      <c r="B4" s="182"/>
      <c r="C4" s="127" t="s">
        <v>59</v>
      </c>
      <c r="D4" s="127" t="s">
        <v>73</v>
      </c>
      <c r="E4" s="127" t="s">
        <v>75</v>
      </c>
      <c r="F4" s="127" t="s">
        <v>77</v>
      </c>
      <c r="H4" s="128" t="s">
        <v>136</v>
      </c>
      <c r="I4" s="129">
        <v>45</v>
      </c>
      <c r="J4" s="130">
        <f>SUM(I4*1650)</f>
        <v>74250</v>
      </c>
      <c r="K4" s="166">
        <f>SUM(I4*2000)</f>
        <v>90000</v>
      </c>
      <c r="L4" s="166">
        <f>SUM(I4*2300)</f>
        <v>103500</v>
      </c>
      <c r="M4" s="166">
        <f>SUM(I4*2200)</f>
        <v>99000</v>
      </c>
      <c r="N4" s="166">
        <f>SUM(I4*2300)</f>
        <v>103500</v>
      </c>
      <c r="P4" s="131" t="s">
        <v>147</v>
      </c>
      <c r="Q4" s="132">
        <v>46</v>
      </c>
      <c r="R4" s="133">
        <v>86600</v>
      </c>
      <c r="S4" s="133">
        <v>91200</v>
      </c>
      <c r="T4" s="133">
        <v>95800</v>
      </c>
      <c r="U4" s="134">
        <v>101900</v>
      </c>
      <c r="Z4" s="172" t="s">
        <v>172</v>
      </c>
      <c r="AA4" s="173">
        <v>0</v>
      </c>
      <c r="AB4" s="169"/>
      <c r="AC4" s="170" t="s">
        <v>173</v>
      </c>
      <c r="AD4" s="171"/>
      <c r="AE4" s="169"/>
    </row>
    <row r="5" spans="2:31" ht="16.5" thickBot="1" x14ac:dyDescent="0.3">
      <c r="B5" s="180" t="s">
        <v>78</v>
      </c>
      <c r="C5" s="135" t="s">
        <v>79</v>
      </c>
      <c r="D5" s="135" t="s">
        <v>82</v>
      </c>
      <c r="E5" s="136" t="s">
        <v>82</v>
      </c>
      <c r="F5" s="136" t="s">
        <v>82</v>
      </c>
      <c r="H5" s="137" t="s">
        <v>137</v>
      </c>
      <c r="I5" s="138">
        <v>58</v>
      </c>
      <c r="J5" s="139">
        <f t="shared" ref="J5:J15" si="0">SUM(I5*1650)</f>
        <v>95700</v>
      </c>
      <c r="K5" s="130">
        <f t="shared" ref="K5:K15" si="1">SUM(I5*2000)</f>
        <v>116000</v>
      </c>
      <c r="L5" s="130">
        <f t="shared" ref="L5:L15" si="2">SUM(I5*2300)</f>
        <v>133400</v>
      </c>
      <c r="M5" s="130">
        <f t="shared" ref="M5:M15" si="3">SUM(I5*2200)</f>
        <v>127600</v>
      </c>
      <c r="N5" s="130">
        <f t="shared" ref="N5:N15" si="4">SUM(I5*2300)</f>
        <v>133400</v>
      </c>
      <c r="P5" s="140" t="s">
        <v>148</v>
      </c>
      <c r="Q5" s="141">
        <v>59</v>
      </c>
      <c r="R5" s="142">
        <v>109400</v>
      </c>
      <c r="S5" s="142">
        <v>114500</v>
      </c>
      <c r="T5" s="142">
        <v>119700</v>
      </c>
      <c r="U5" s="143">
        <v>126600</v>
      </c>
      <c r="Z5" s="172" t="s">
        <v>174</v>
      </c>
      <c r="AA5" s="173">
        <v>0.01</v>
      </c>
      <c r="AB5" s="169"/>
      <c r="AC5" s="174" t="s">
        <v>175</v>
      </c>
      <c r="AD5" s="175">
        <v>165000</v>
      </c>
      <c r="AE5" s="169"/>
    </row>
    <row r="6" spans="2:31" ht="15.75" x14ac:dyDescent="0.25">
      <c r="B6" s="181"/>
      <c r="C6" s="135" t="s">
        <v>80</v>
      </c>
      <c r="D6" s="135" t="s">
        <v>83</v>
      </c>
      <c r="E6" s="144" t="s">
        <v>83</v>
      </c>
      <c r="F6" s="144" t="s">
        <v>83</v>
      </c>
      <c r="H6" s="137" t="s">
        <v>138</v>
      </c>
      <c r="I6" s="138">
        <v>46</v>
      </c>
      <c r="J6" s="139">
        <f t="shared" si="0"/>
        <v>75900</v>
      </c>
      <c r="K6" s="130">
        <f t="shared" si="1"/>
        <v>92000</v>
      </c>
      <c r="L6" s="130">
        <f t="shared" si="2"/>
        <v>105800</v>
      </c>
      <c r="M6" s="130">
        <f t="shared" si="3"/>
        <v>101200</v>
      </c>
      <c r="N6" s="130">
        <f t="shared" si="4"/>
        <v>105800</v>
      </c>
      <c r="P6" s="140" t="s">
        <v>149</v>
      </c>
      <c r="Q6" s="141">
        <v>58</v>
      </c>
      <c r="R6" s="142">
        <v>115200</v>
      </c>
      <c r="S6" s="142">
        <v>128000</v>
      </c>
      <c r="T6" s="142">
        <v>140700</v>
      </c>
      <c r="U6" s="143">
        <v>157700</v>
      </c>
      <c r="Z6" s="172" t="s">
        <v>176</v>
      </c>
      <c r="AA6" s="173">
        <v>0.05</v>
      </c>
      <c r="AB6" s="169"/>
      <c r="AC6" s="176" t="s">
        <v>177</v>
      </c>
      <c r="AD6" s="177">
        <f>SUM((AD5-150000)*0.01)</f>
        <v>150</v>
      </c>
      <c r="AE6" s="169"/>
    </row>
    <row r="7" spans="2:31" ht="15" x14ac:dyDescent="0.2">
      <c r="B7" s="181"/>
      <c r="C7" s="135" t="s">
        <v>81</v>
      </c>
      <c r="D7" s="135" t="s">
        <v>79</v>
      </c>
      <c r="E7" s="144" t="s">
        <v>85</v>
      </c>
      <c r="F7" s="144" t="s">
        <v>79</v>
      </c>
      <c r="H7" s="137" t="s">
        <v>139</v>
      </c>
      <c r="I7" s="138">
        <v>65</v>
      </c>
      <c r="J7" s="139">
        <f t="shared" si="0"/>
        <v>107250</v>
      </c>
      <c r="K7" s="130">
        <f t="shared" si="1"/>
        <v>130000</v>
      </c>
      <c r="L7" s="130">
        <f t="shared" si="2"/>
        <v>149500</v>
      </c>
      <c r="M7" s="130">
        <f t="shared" si="3"/>
        <v>143000</v>
      </c>
      <c r="N7" s="130">
        <f t="shared" si="4"/>
        <v>149500</v>
      </c>
      <c r="P7" s="140" t="s">
        <v>150</v>
      </c>
      <c r="Q7" s="141">
        <v>83</v>
      </c>
      <c r="R7" s="142">
        <v>127100</v>
      </c>
      <c r="S7" s="142">
        <v>137500</v>
      </c>
      <c r="T7" s="142">
        <v>147800</v>
      </c>
      <c r="U7" s="143">
        <v>161600</v>
      </c>
      <c r="Z7" s="172" t="s">
        <v>178</v>
      </c>
      <c r="AA7" s="173">
        <v>0.06</v>
      </c>
      <c r="AB7" s="169"/>
      <c r="AC7" s="169"/>
      <c r="AD7" s="171"/>
      <c r="AE7" s="169"/>
    </row>
    <row r="8" spans="2:31" ht="15.75" x14ac:dyDescent="0.25">
      <c r="B8" s="181"/>
      <c r="C8" s="135" t="s">
        <v>120</v>
      </c>
      <c r="D8" s="135" t="s">
        <v>84</v>
      </c>
      <c r="E8" s="144" t="s">
        <v>86</v>
      </c>
      <c r="F8" s="144" t="s">
        <v>84</v>
      </c>
      <c r="H8" s="137" t="s">
        <v>124</v>
      </c>
      <c r="I8" s="138">
        <v>67</v>
      </c>
      <c r="J8" s="139">
        <f t="shared" si="0"/>
        <v>110550</v>
      </c>
      <c r="K8" s="130">
        <f t="shared" si="1"/>
        <v>134000</v>
      </c>
      <c r="L8" s="130">
        <f t="shared" si="2"/>
        <v>154100</v>
      </c>
      <c r="M8" s="130">
        <f t="shared" si="3"/>
        <v>147400</v>
      </c>
      <c r="N8" s="130">
        <f t="shared" si="4"/>
        <v>154100</v>
      </c>
      <c r="P8" s="140" t="s">
        <v>151</v>
      </c>
      <c r="Q8" s="141">
        <v>88</v>
      </c>
      <c r="R8" s="142">
        <v>133500</v>
      </c>
      <c r="S8" s="142">
        <v>143900</v>
      </c>
      <c r="T8" s="142">
        <v>154200</v>
      </c>
      <c r="U8" s="143">
        <v>168000</v>
      </c>
      <c r="Z8" s="178"/>
      <c r="AA8" s="179"/>
      <c r="AB8" s="169"/>
      <c r="AC8" s="170" t="s">
        <v>179</v>
      </c>
      <c r="AD8" s="171"/>
      <c r="AE8" s="169"/>
    </row>
    <row r="9" spans="2:31" ht="15" x14ac:dyDescent="0.2">
      <c r="B9" s="181"/>
      <c r="C9" s="145"/>
      <c r="D9" s="135" t="s">
        <v>83</v>
      </c>
      <c r="E9" s="144" t="s">
        <v>87</v>
      </c>
      <c r="F9" s="144" t="s">
        <v>87</v>
      </c>
      <c r="H9" s="137" t="s">
        <v>125</v>
      </c>
      <c r="I9" s="138">
        <v>78</v>
      </c>
      <c r="J9" s="139">
        <f t="shared" si="0"/>
        <v>128700</v>
      </c>
      <c r="K9" s="130">
        <f t="shared" si="1"/>
        <v>156000</v>
      </c>
      <c r="L9" s="130">
        <f t="shared" si="2"/>
        <v>179400</v>
      </c>
      <c r="M9" s="130">
        <f t="shared" si="3"/>
        <v>171600</v>
      </c>
      <c r="N9" s="130">
        <f t="shared" si="4"/>
        <v>179400</v>
      </c>
      <c r="P9" s="140" t="s">
        <v>152</v>
      </c>
      <c r="Q9" s="141">
        <v>94</v>
      </c>
      <c r="R9" s="142">
        <v>142600</v>
      </c>
      <c r="S9" s="142">
        <v>153600</v>
      </c>
      <c r="T9" s="142">
        <v>164700</v>
      </c>
      <c r="U9" s="143">
        <v>179400</v>
      </c>
      <c r="Z9" s="178"/>
      <c r="AA9" s="179"/>
      <c r="AB9" s="169"/>
      <c r="AC9" s="169" t="s">
        <v>180</v>
      </c>
      <c r="AD9" s="171">
        <f>SUM(100000*0.01)</f>
        <v>1000</v>
      </c>
      <c r="AE9" s="169"/>
    </row>
    <row r="10" spans="2:31" ht="15.75" thickBot="1" x14ac:dyDescent="0.25">
      <c r="B10" s="181"/>
      <c r="C10" s="145"/>
      <c r="D10" s="135" t="s">
        <v>81</v>
      </c>
      <c r="E10" s="146"/>
      <c r="F10" s="144" t="s">
        <v>81</v>
      </c>
      <c r="H10" s="137" t="s">
        <v>126</v>
      </c>
      <c r="I10" s="138">
        <v>110</v>
      </c>
      <c r="J10" s="139">
        <f t="shared" si="0"/>
        <v>181500</v>
      </c>
      <c r="K10" s="130">
        <f t="shared" si="1"/>
        <v>220000</v>
      </c>
      <c r="L10" s="130">
        <f t="shared" si="2"/>
        <v>253000</v>
      </c>
      <c r="M10" s="130">
        <f t="shared" si="3"/>
        <v>242000</v>
      </c>
      <c r="N10" s="130">
        <f t="shared" si="4"/>
        <v>253000</v>
      </c>
      <c r="P10" s="140" t="s">
        <v>153</v>
      </c>
      <c r="Q10" s="141">
        <v>110</v>
      </c>
      <c r="R10" s="142">
        <v>166500</v>
      </c>
      <c r="S10" s="142">
        <v>179200</v>
      </c>
      <c r="T10" s="142">
        <v>192000</v>
      </c>
      <c r="U10" s="143">
        <v>209000</v>
      </c>
      <c r="Z10" s="169"/>
      <c r="AA10" s="169"/>
      <c r="AB10" s="169"/>
      <c r="AC10" s="169" t="s">
        <v>181</v>
      </c>
      <c r="AD10" s="171">
        <f>SUM((AD11-250000)*0.05)</f>
        <v>23378.2</v>
      </c>
      <c r="AE10" s="169"/>
    </row>
    <row r="11" spans="2:31" ht="15.75" customHeight="1" thickBot="1" x14ac:dyDescent="0.3">
      <c r="B11" s="181"/>
      <c r="C11" s="145"/>
      <c r="D11" s="135" t="s">
        <v>110</v>
      </c>
      <c r="E11" s="146"/>
      <c r="F11" s="147" t="s">
        <v>117</v>
      </c>
      <c r="H11" s="137" t="s">
        <v>127</v>
      </c>
      <c r="I11" s="138">
        <v>82</v>
      </c>
      <c r="J11" s="139">
        <f t="shared" si="0"/>
        <v>135300</v>
      </c>
      <c r="K11" s="130">
        <f t="shared" si="1"/>
        <v>164000</v>
      </c>
      <c r="L11" s="130">
        <f t="shared" si="2"/>
        <v>188600</v>
      </c>
      <c r="M11" s="130">
        <f t="shared" si="3"/>
        <v>180400</v>
      </c>
      <c r="N11" s="130">
        <f t="shared" si="4"/>
        <v>188600</v>
      </c>
      <c r="P11" s="148" t="s">
        <v>154</v>
      </c>
      <c r="Q11" s="149">
        <v>114</v>
      </c>
      <c r="R11" s="150">
        <v>176300</v>
      </c>
      <c r="S11" s="150">
        <v>191300</v>
      </c>
      <c r="T11" s="150">
        <v>206400</v>
      </c>
      <c r="U11" s="151">
        <v>226500</v>
      </c>
      <c r="Z11" s="169"/>
      <c r="AA11" s="169"/>
      <c r="AB11" s="169"/>
      <c r="AC11" s="174" t="s">
        <v>175</v>
      </c>
      <c r="AD11" s="175">
        <v>717564</v>
      </c>
      <c r="AE11" s="169"/>
    </row>
    <row r="12" spans="2:31" ht="15" customHeight="1" thickBot="1" x14ac:dyDescent="0.3">
      <c r="B12" s="182"/>
      <c r="C12" s="152"/>
      <c r="D12" s="153" t="s">
        <v>113</v>
      </c>
      <c r="E12" s="154"/>
      <c r="F12" s="155"/>
      <c r="H12" s="137" t="s">
        <v>128</v>
      </c>
      <c r="I12" s="138">
        <v>110</v>
      </c>
      <c r="J12" s="139">
        <f t="shared" si="0"/>
        <v>181500</v>
      </c>
      <c r="K12" s="130">
        <f t="shared" si="1"/>
        <v>220000</v>
      </c>
      <c r="L12" s="130">
        <f t="shared" si="2"/>
        <v>253000</v>
      </c>
      <c r="M12" s="130">
        <f t="shared" si="3"/>
        <v>242000</v>
      </c>
      <c r="N12" s="130">
        <f t="shared" si="4"/>
        <v>253000</v>
      </c>
      <c r="Z12" s="169"/>
      <c r="AA12" s="169"/>
      <c r="AB12" s="169"/>
      <c r="AC12" s="176" t="s">
        <v>182</v>
      </c>
      <c r="AD12" s="177">
        <f>SUM(AD9+AD10)</f>
        <v>24378.2</v>
      </c>
      <c r="AE12" s="169"/>
    </row>
    <row r="13" spans="2:31" ht="15.75" thickBot="1" x14ac:dyDescent="0.25">
      <c r="B13" s="180" t="s">
        <v>88</v>
      </c>
      <c r="C13" s="136" t="s">
        <v>79</v>
      </c>
      <c r="D13" s="136" t="s">
        <v>82</v>
      </c>
      <c r="E13" s="136" t="s">
        <v>82</v>
      </c>
      <c r="F13" s="136" t="s">
        <v>82</v>
      </c>
      <c r="H13" s="137" t="s">
        <v>129</v>
      </c>
      <c r="I13" s="138">
        <v>94</v>
      </c>
      <c r="J13" s="139">
        <f t="shared" si="0"/>
        <v>155100</v>
      </c>
      <c r="K13" s="130">
        <f t="shared" si="1"/>
        <v>188000</v>
      </c>
      <c r="L13" s="130">
        <f t="shared" si="2"/>
        <v>216200</v>
      </c>
      <c r="M13" s="130">
        <f t="shared" si="3"/>
        <v>206800</v>
      </c>
      <c r="N13" s="130">
        <f t="shared" si="4"/>
        <v>216200</v>
      </c>
      <c r="P13" s="156" t="s">
        <v>156</v>
      </c>
      <c r="Q13" s="195" t="s">
        <v>157</v>
      </c>
      <c r="R13" s="195"/>
      <c r="S13" s="195"/>
      <c r="T13" s="195"/>
      <c r="U13" s="195"/>
      <c r="V13" s="195"/>
      <c r="W13" s="195"/>
      <c r="X13" s="196"/>
      <c r="Z13" s="169"/>
      <c r="AA13" s="169"/>
      <c r="AB13" s="169"/>
      <c r="AC13" s="169"/>
      <c r="AD13" s="171"/>
      <c r="AE13" s="169"/>
    </row>
    <row r="14" spans="2:31" ht="15.75" x14ac:dyDescent="0.25">
      <c r="B14" s="181"/>
      <c r="C14" s="144" t="s">
        <v>80</v>
      </c>
      <c r="D14" s="144" t="s">
        <v>90</v>
      </c>
      <c r="E14" s="144" t="s">
        <v>83</v>
      </c>
      <c r="F14" s="144" t="s">
        <v>83</v>
      </c>
      <c r="H14" s="137" t="s">
        <v>130</v>
      </c>
      <c r="I14" s="141">
        <v>120</v>
      </c>
      <c r="J14" s="139">
        <f t="shared" si="0"/>
        <v>198000</v>
      </c>
      <c r="K14" s="130">
        <f t="shared" si="1"/>
        <v>240000</v>
      </c>
      <c r="L14" s="130">
        <f t="shared" si="2"/>
        <v>276000</v>
      </c>
      <c r="M14" s="130">
        <f t="shared" si="3"/>
        <v>264000</v>
      </c>
      <c r="N14" s="130">
        <f t="shared" si="4"/>
        <v>276000</v>
      </c>
      <c r="P14" s="157">
        <v>1</v>
      </c>
      <c r="Q14" s="201" t="s">
        <v>158</v>
      </c>
      <c r="R14" s="202"/>
      <c r="S14" s="202"/>
      <c r="T14" s="202"/>
      <c r="U14" s="202"/>
      <c r="V14" s="202"/>
      <c r="W14" s="202"/>
      <c r="X14" s="203"/>
      <c r="Z14" s="169"/>
      <c r="AA14" s="169"/>
      <c r="AB14" s="169"/>
      <c r="AC14" s="170" t="s">
        <v>183</v>
      </c>
      <c r="AD14" s="171"/>
      <c r="AE14" s="169"/>
    </row>
    <row r="15" spans="2:31" ht="15.75" thickBot="1" x14ac:dyDescent="0.25">
      <c r="B15" s="181"/>
      <c r="C15" s="144" t="s">
        <v>81</v>
      </c>
      <c r="D15" s="144" t="s">
        <v>79</v>
      </c>
      <c r="E15" s="144" t="s">
        <v>79</v>
      </c>
      <c r="F15" s="144" t="s">
        <v>91</v>
      </c>
      <c r="H15" s="158" t="s">
        <v>131</v>
      </c>
      <c r="I15" s="149">
        <v>135</v>
      </c>
      <c r="J15" s="159">
        <f t="shared" si="0"/>
        <v>222750</v>
      </c>
      <c r="K15" s="167">
        <f t="shared" si="1"/>
        <v>270000</v>
      </c>
      <c r="L15" s="167">
        <f t="shared" si="2"/>
        <v>310500</v>
      </c>
      <c r="M15" s="167">
        <f t="shared" si="3"/>
        <v>297000</v>
      </c>
      <c r="N15" s="167">
        <f t="shared" si="4"/>
        <v>310500</v>
      </c>
      <c r="P15" s="160">
        <v>2</v>
      </c>
      <c r="Q15" s="197" t="s">
        <v>159</v>
      </c>
      <c r="R15" s="197"/>
      <c r="S15" s="197"/>
      <c r="T15" s="197"/>
      <c r="U15" s="197"/>
      <c r="V15" s="197"/>
      <c r="W15" s="197"/>
      <c r="X15" s="198"/>
      <c r="Z15" s="169"/>
      <c r="AA15" s="169"/>
      <c r="AB15" s="169"/>
      <c r="AC15" s="169" t="s">
        <v>180</v>
      </c>
      <c r="AD15" s="171">
        <f>SUM(100000*0.01)</f>
        <v>1000</v>
      </c>
      <c r="AE15" s="169"/>
    </row>
    <row r="16" spans="2:31" ht="15" x14ac:dyDescent="0.2">
      <c r="B16" s="181"/>
      <c r="C16" s="144" t="s">
        <v>107</v>
      </c>
      <c r="D16" s="144" t="s">
        <v>84</v>
      </c>
      <c r="E16" s="144" t="s">
        <v>86</v>
      </c>
      <c r="F16" s="144" t="s">
        <v>79</v>
      </c>
      <c r="P16" s="160">
        <v>3</v>
      </c>
      <c r="Q16" s="197" t="s">
        <v>160</v>
      </c>
      <c r="R16" s="197"/>
      <c r="S16" s="197"/>
      <c r="T16" s="197"/>
      <c r="U16" s="197"/>
      <c r="V16" s="197"/>
      <c r="W16" s="197"/>
      <c r="X16" s="198"/>
      <c r="Z16" s="169"/>
      <c r="AA16" s="169"/>
      <c r="AB16" s="169"/>
      <c r="AC16" s="169" t="s">
        <v>181</v>
      </c>
      <c r="AD16" s="171">
        <f>SUM(750000*0.05)</f>
        <v>37500</v>
      </c>
      <c r="AE16" s="169"/>
    </row>
    <row r="17" spans="2:31" ht="15.75" thickBot="1" x14ac:dyDescent="0.25">
      <c r="B17" s="181"/>
      <c r="C17" s="144" t="s">
        <v>89</v>
      </c>
      <c r="D17" s="144" t="s">
        <v>87</v>
      </c>
      <c r="E17" s="144" t="s">
        <v>87</v>
      </c>
      <c r="F17" s="144" t="s">
        <v>86</v>
      </c>
      <c r="P17" s="161">
        <v>4</v>
      </c>
      <c r="Q17" s="199" t="s">
        <v>161</v>
      </c>
      <c r="R17" s="199"/>
      <c r="S17" s="199"/>
      <c r="T17" s="199"/>
      <c r="U17" s="199"/>
      <c r="V17" s="199"/>
      <c r="W17" s="199"/>
      <c r="X17" s="200"/>
      <c r="Z17" s="169"/>
      <c r="AA17" s="169"/>
      <c r="AB17" s="169"/>
      <c r="AC17" s="169" t="s">
        <v>184</v>
      </c>
      <c r="AD17" s="171">
        <f>SUM((AD18-1000000)*0.06)</f>
        <v>105600</v>
      </c>
      <c r="AE17" s="169"/>
    </row>
    <row r="18" spans="2:31" ht="16.5" thickBot="1" x14ac:dyDescent="0.3">
      <c r="B18" s="181"/>
      <c r="C18" s="146"/>
      <c r="D18" s="144" t="s">
        <v>81</v>
      </c>
      <c r="E18" s="144" t="s">
        <v>91</v>
      </c>
      <c r="F18" s="144" t="s">
        <v>92</v>
      </c>
      <c r="Z18" s="169"/>
      <c r="AA18" s="169"/>
      <c r="AB18" s="169"/>
      <c r="AC18" s="174" t="s">
        <v>175</v>
      </c>
      <c r="AD18" s="175">
        <v>2760000</v>
      </c>
      <c r="AE18" s="169"/>
    </row>
    <row r="19" spans="2:31" ht="15.75" x14ac:dyDescent="0.25">
      <c r="B19" s="181"/>
      <c r="C19" s="146"/>
      <c r="D19" s="144" t="s">
        <v>111</v>
      </c>
      <c r="E19" s="144"/>
      <c r="F19" s="144" t="s">
        <v>93</v>
      </c>
      <c r="I19" s="162"/>
      <c r="Z19" s="169"/>
      <c r="AA19" s="169"/>
      <c r="AB19" s="169"/>
      <c r="AC19" s="176" t="s">
        <v>182</v>
      </c>
      <c r="AD19" s="177">
        <f>SUM(AD15+AD16+AD17)</f>
        <v>144100</v>
      </c>
      <c r="AE19" s="169"/>
    </row>
    <row r="20" spans="2:31" ht="15.75" thickBot="1" x14ac:dyDescent="0.25">
      <c r="B20" s="182"/>
      <c r="C20" s="154"/>
      <c r="D20" s="163" t="s">
        <v>114</v>
      </c>
      <c r="E20" s="154"/>
      <c r="F20" s="155"/>
      <c r="I20" s="162"/>
      <c r="J20" s="162"/>
      <c r="K20" s="162"/>
      <c r="L20" s="162"/>
      <c r="M20" s="162"/>
    </row>
    <row r="21" spans="2:31" ht="15" x14ac:dyDescent="0.2">
      <c r="B21" s="180" t="s">
        <v>94</v>
      </c>
      <c r="C21" s="135" t="s">
        <v>79</v>
      </c>
      <c r="D21" s="135" t="s">
        <v>82</v>
      </c>
      <c r="E21" s="135" t="s">
        <v>82</v>
      </c>
      <c r="F21" s="135" t="s">
        <v>82</v>
      </c>
    </row>
    <row r="22" spans="2:31" ht="15" x14ac:dyDescent="0.2">
      <c r="B22" s="181"/>
      <c r="C22" s="135" t="s">
        <v>80</v>
      </c>
      <c r="D22" s="135" t="s">
        <v>91</v>
      </c>
      <c r="E22" s="135" t="s">
        <v>95</v>
      </c>
      <c r="F22" s="135" t="s">
        <v>83</v>
      </c>
    </row>
    <row r="23" spans="2:31" ht="15" x14ac:dyDescent="0.2">
      <c r="B23" s="181"/>
      <c r="C23" s="135" t="s">
        <v>81</v>
      </c>
      <c r="D23" s="135" t="s">
        <v>79</v>
      </c>
      <c r="E23" s="135" t="s">
        <v>79</v>
      </c>
      <c r="F23" s="135" t="s">
        <v>91</v>
      </c>
    </row>
    <row r="24" spans="2:31" ht="15" x14ac:dyDescent="0.2">
      <c r="B24" s="181"/>
      <c r="C24" s="135" t="s">
        <v>108</v>
      </c>
      <c r="D24" s="135" t="s">
        <v>84</v>
      </c>
      <c r="E24" s="135" t="s">
        <v>84</v>
      </c>
      <c r="F24" s="135" t="s">
        <v>79</v>
      </c>
    </row>
    <row r="25" spans="2:31" ht="15" x14ac:dyDescent="0.2">
      <c r="B25" s="181"/>
      <c r="C25" s="145"/>
      <c r="D25" s="135" t="s">
        <v>92</v>
      </c>
      <c r="E25" s="135" t="s">
        <v>96</v>
      </c>
      <c r="F25" s="135" t="s">
        <v>86</v>
      </c>
    </row>
    <row r="26" spans="2:31" ht="15" x14ac:dyDescent="0.2">
      <c r="B26" s="181"/>
      <c r="C26" s="145"/>
      <c r="D26" s="135" t="s">
        <v>81</v>
      </c>
      <c r="E26" s="135"/>
      <c r="F26" s="135" t="s">
        <v>97</v>
      </c>
    </row>
    <row r="27" spans="2:31" ht="15.75" customHeight="1" x14ac:dyDescent="0.2">
      <c r="B27" s="181"/>
      <c r="C27" s="145"/>
      <c r="D27" s="135" t="s">
        <v>112</v>
      </c>
      <c r="E27" s="145"/>
      <c r="F27" s="135" t="s">
        <v>93</v>
      </c>
    </row>
    <row r="28" spans="2:31" ht="15.75" customHeight="1" x14ac:dyDescent="0.2">
      <c r="B28" s="181"/>
      <c r="C28" s="145"/>
      <c r="D28" s="164" t="s">
        <v>115</v>
      </c>
      <c r="E28" s="145"/>
      <c r="F28" s="135" t="s">
        <v>81</v>
      </c>
    </row>
    <row r="29" spans="2:31" ht="15.75" thickBot="1" x14ac:dyDescent="0.25">
      <c r="B29" s="182"/>
      <c r="C29" s="152"/>
      <c r="D29" s="152"/>
      <c r="E29" s="152"/>
      <c r="F29" s="153" t="s">
        <v>118</v>
      </c>
    </row>
    <row r="30" spans="2:31" ht="15" x14ac:dyDescent="0.2">
      <c r="B30" s="180" t="s">
        <v>98</v>
      </c>
      <c r="C30" s="135" t="s">
        <v>79</v>
      </c>
      <c r="D30" s="135" t="s">
        <v>82</v>
      </c>
      <c r="E30" s="135" t="s">
        <v>82</v>
      </c>
      <c r="F30" s="135" t="s">
        <v>82</v>
      </c>
    </row>
    <row r="31" spans="2:31" ht="15" x14ac:dyDescent="0.2">
      <c r="B31" s="181"/>
      <c r="C31" s="135" t="s">
        <v>86</v>
      </c>
      <c r="D31" s="135" t="s">
        <v>87</v>
      </c>
      <c r="E31" s="135" t="s">
        <v>83</v>
      </c>
      <c r="F31" s="135" t="s">
        <v>83</v>
      </c>
    </row>
    <row r="32" spans="2:31" ht="15" x14ac:dyDescent="0.2">
      <c r="B32" s="181"/>
      <c r="C32" s="145"/>
      <c r="D32" s="135" t="s">
        <v>79</v>
      </c>
      <c r="E32" s="135" t="s">
        <v>91</v>
      </c>
      <c r="F32" s="135" t="s">
        <v>91</v>
      </c>
    </row>
    <row r="33" spans="2:6" ht="15" x14ac:dyDescent="0.2">
      <c r="B33" s="181"/>
      <c r="C33" s="145"/>
      <c r="D33" s="135" t="s">
        <v>84</v>
      </c>
      <c r="E33" s="135" t="s">
        <v>79</v>
      </c>
      <c r="F33" s="135" t="s">
        <v>79</v>
      </c>
    </row>
    <row r="34" spans="2:6" ht="15" x14ac:dyDescent="0.2">
      <c r="B34" s="181"/>
      <c r="C34" s="145"/>
      <c r="D34" s="135" t="s">
        <v>87</v>
      </c>
      <c r="E34" s="135" t="s">
        <v>84</v>
      </c>
      <c r="F34" s="135" t="s">
        <v>86</v>
      </c>
    </row>
    <row r="35" spans="2:6" ht="15" x14ac:dyDescent="0.2">
      <c r="B35" s="181"/>
      <c r="C35" s="145"/>
      <c r="D35" s="135" t="s">
        <v>93</v>
      </c>
      <c r="E35" s="135" t="s">
        <v>87</v>
      </c>
      <c r="F35" s="135" t="s">
        <v>100</v>
      </c>
    </row>
    <row r="36" spans="2:6" ht="15" x14ac:dyDescent="0.2">
      <c r="B36" s="181"/>
      <c r="C36" s="145"/>
      <c r="D36" s="135" t="s">
        <v>99</v>
      </c>
      <c r="E36" s="145"/>
      <c r="F36" s="135" t="s">
        <v>92</v>
      </c>
    </row>
    <row r="37" spans="2:6" ht="15.75" thickBot="1" x14ac:dyDescent="0.25">
      <c r="B37" s="182"/>
      <c r="C37" s="152"/>
      <c r="D37" s="152"/>
      <c r="E37" s="152"/>
      <c r="F37" s="165" t="s">
        <v>101</v>
      </c>
    </row>
  </sheetData>
  <mergeCells count="17">
    <mergeCell ref="Q13:X13"/>
    <mergeCell ref="Q15:X15"/>
    <mergeCell ref="Q16:X16"/>
    <mergeCell ref="Q17:X17"/>
    <mergeCell ref="Q14:X14"/>
    <mergeCell ref="H2:H3"/>
    <mergeCell ref="I2:I3"/>
    <mergeCell ref="J2:N2"/>
    <mergeCell ref="R2:U2"/>
    <mergeCell ref="Q2:Q3"/>
    <mergeCell ref="P2:P3"/>
    <mergeCell ref="B30:B37"/>
    <mergeCell ref="B2:B4"/>
    <mergeCell ref="C2:F2"/>
    <mergeCell ref="B5:B12"/>
    <mergeCell ref="B13:B20"/>
    <mergeCell ref="B21:B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topLeftCell="L32" zoomScaleNormal="100" workbookViewId="0">
      <selection activeCell="D36" sqref="D36"/>
    </sheetView>
  </sheetViews>
  <sheetFormatPr defaultRowHeight="15" x14ac:dyDescent="0.25"/>
  <cols>
    <col min="1" max="1" width="5" style="6" bestFit="1" customWidth="1"/>
    <col min="2" max="2" width="21.5703125" style="6" bestFit="1" customWidth="1"/>
    <col min="3" max="3" width="6.5703125" style="6" bestFit="1" customWidth="1"/>
    <col min="4" max="4" width="7" style="2" bestFit="1" customWidth="1"/>
    <col min="5" max="5" width="5.28515625" style="6" customWidth="1"/>
    <col min="6" max="6" width="27.7109375" style="6" customWidth="1"/>
    <col min="7" max="7" width="8.5703125" style="6" bestFit="1" customWidth="1"/>
    <col min="8" max="8" width="5.7109375" style="6" customWidth="1"/>
    <col min="9" max="9" width="9.140625" style="6"/>
    <col min="10" max="10" width="8.140625" style="6" customWidth="1"/>
    <col min="11" max="11" width="9.140625" style="6" bestFit="1" customWidth="1"/>
    <col min="12" max="12" width="8.5703125" style="6" customWidth="1"/>
    <col min="13" max="13" width="11.140625" style="6" customWidth="1"/>
    <col min="14" max="14" width="9.140625" style="6"/>
    <col min="15" max="15" width="6.85546875" style="6" customWidth="1"/>
    <col min="16" max="16" width="7.7109375" style="6" customWidth="1"/>
    <col min="17" max="17" width="8" style="6" customWidth="1"/>
    <col min="18" max="18" width="5.140625" style="6" customWidth="1"/>
    <col min="19" max="19" width="17" style="6" customWidth="1"/>
    <col min="20" max="20" width="6" style="6" customWidth="1"/>
    <col min="21" max="21" width="4.5703125" style="6" bestFit="1" customWidth="1"/>
    <col min="22" max="22" width="9.140625" style="6"/>
    <col min="23" max="23" width="5.85546875" style="6" customWidth="1"/>
    <col min="24" max="24" width="8.5703125" style="6" bestFit="1" customWidth="1"/>
    <col min="25" max="25" width="10" style="6" bestFit="1" customWidth="1"/>
    <col min="26" max="26" width="10.140625" style="6" bestFit="1" customWidth="1"/>
    <col min="27" max="27" width="15.7109375" style="6" bestFit="1" customWidth="1"/>
    <col min="28" max="28" width="10.7109375" style="6" customWidth="1"/>
    <col min="29" max="29" width="9.140625" style="6"/>
    <col min="30" max="30" width="14.85546875" style="6" bestFit="1" customWidth="1"/>
    <col min="31" max="31" width="7.140625" style="6" bestFit="1" customWidth="1"/>
    <col min="32" max="16384" width="9.140625" style="6"/>
  </cols>
  <sheetData>
    <row r="1" spans="1:31" x14ac:dyDescent="0.25">
      <c r="C1" s="6" t="s">
        <v>61</v>
      </c>
      <c r="D1" s="2" t="s">
        <v>60</v>
      </c>
      <c r="F1" s="2" t="s">
        <v>62</v>
      </c>
      <c r="S1" s="2" t="s">
        <v>104</v>
      </c>
    </row>
    <row r="2" spans="1:31" ht="32.25" x14ac:dyDescent="0.25">
      <c r="B2" s="6" t="s">
        <v>59</v>
      </c>
      <c r="C2" s="6">
        <f>SUM(25*0.05)</f>
        <v>1.25</v>
      </c>
      <c r="F2" s="3" t="s">
        <v>0</v>
      </c>
      <c r="G2" s="3" t="s">
        <v>2</v>
      </c>
      <c r="H2" s="3" t="s">
        <v>10</v>
      </c>
      <c r="I2" s="10" t="s">
        <v>34</v>
      </c>
      <c r="J2" s="10" t="s">
        <v>43</v>
      </c>
      <c r="K2" s="82" t="s">
        <v>69</v>
      </c>
      <c r="L2" s="10" t="s">
        <v>27</v>
      </c>
      <c r="M2" s="10" t="s">
        <v>29</v>
      </c>
      <c r="N2" s="10" t="s">
        <v>32</v>
      </c>
      <c r="O2" s="10" t="s">
        <v>163</v>
      </c>
      <c r="P2" s="54" t="s">
        <v>164</v>
      </c>
      <c r="Q2" s="54" t="s">
        <v>165</v>
      </c>
      <c r="S2" s="3" t="s">
        <v>0</v>
      </c>
      <c r="T2" s="3" t="s">
        <v>2</v>
      </c>
      <c r="U2" s="3" t="s">
        <v>10</v>
      </c>
      <c r="V2" s="7" t="s">
        <v>11</v>
      </c>
      <c r="W2" s="7" t="s">
        <v>10</v>
      </c>
      <c r="X2" s="7" t="s">
        <v>103</v>
      </c>
      <c r="Y2" s="7" t="s">
        <v>162</v>
      </c>
      <c r="Z2" s="7" t="s">
        <v>12</v>
      </c>
      <c r="AA2" s="7" t="s">
        <v>119</v>
      </c>
      <c r="AB2" s="10" t="s">
        <v>140</v>
      </c>
    </row>
    <row r="3" spans="1:31" x14ac:dyDescent="0.25">
      <c r="A3" s="6">
        <f>25*0.05</f>
        <v>1.25</v>
      </c>
      <c r="B3" s="6" t="s">
        <v>44</v>
      </c>
      <c r="C3" s="64">
        <f>A3*0.2</f>
        <v>0.25</v>
      </c>
      <c r="D3" s="2">
        <v>0</v>
      </c>
      <c r="F3" s="18" t="s">
        <v>26</v>
      </c>
      <c r="G3" s="18">
        <v>1</v>
      </c>
      <c r="H3" s="17">
        <v>46</v>
      </c>
      <c r="I3" s="18" t="s">
        <v>28</v>
      </c>
      <c r="J3" s="41">
        <v>86600</v>
      </c>
      <c r="K3" s="120">
        <f>SUM(H3*1650)</f>
        <v>75900</v>
      </c>
      <c r="L3" s="41">
        <f>SUM(J3*G3)</f>
        <v>86600</v>
      </c>
      <c r="M3" s="41"/>
      <c r="N3" s="42">
        <f>SUM(L3*0.37)</f>
        <v>32042</v>
      </c>
      <c r="O3" s="22">
        <f t="shared" ref="O3:O4" si="0">SUM(G3*H3)</f>
        <v>46</v>
      </c>
      <c r="P3" s="15"/>
      <c r="Q3" s="61">
        <f>SUM(O3:O3)</f>
        <v>46</v>
      </c>
      <c r="S3" s="74" t="s">
        <v>63</v>
      </c>
      <c r="T3" s="74">
        <v>1</v>
      </c>
      <c r="U3" s="16">
        <v>46</v>
      </c>
      <c r="V3" s="74" t="s">
        <v>28</v>
      </c>
      <c r="W3" s="91">
        <v>46</v>
      </c>
      <c r="X3" s="75">
        <v>86600</v>
      </c>
      <c r="Y3" s="13">
        <f t="shared" ref="Y3:Y9" si="1">SUM(X3/W3)</f>
        <v>1882.608695652174</v>
      </c>
      <c r="Z3" s="94">
        <f>SUM((T3*U3)*Y3)</f>
        <v>86600</v>
      </c>
      <c r="AA3" s="15"/>
      <c r="AB3" s="15"/>
      <c r="AE3" s="65"/>
    </row>
    <row r="4" spans="1:31" x14ac:dyDescent="0.25">
      <c r="A4" s="6">
        <f>A3</f>
        <v>1.25</v>
      </c>
      <c r="B4" s="6" t="s">
        <v>45</v>
      </c>
      <c r="C4" s="68">
        <f>A4*0.8</f>
        <v>1</v>
      </c>
      <c r="D4" s="2">
        <v>1</v>
      </c>
      <c r="F4" s="8" t="s">
        <v>63</v>
      </c>
      <c r="G4" s="8">
        <v>1</v>
      </c>
      <c r="H4" s="8">
        <v>46</v>
      </c>
      <c r="I4" s="8"/>
      <c r="J4" s="8"/>
      <c r="K4" s="120">
        <f t="shared" ref="K4:K9" si="2">SUM(H4*1650)</f>
        <v>75900</v>
      </c>
      <c r="L4" s="8"/>
      <c r="M4" s="8"/>
      <c r="N4" s="8"/>
      <c r="O4" s="22">
        <f t="shared" si="0"/>
        <v>46</v>
      </c>
      <c r="P4" s="15"/>
      <c r="Q4" s="15"/>
      <c r="S4" s="8" t="s">
        <v>63</v>
      </c>
      <c r="T4" s="8">
        <v>1</v>
      </c>
      <c r="U4" s="8">
        <v>46</v>
      </c>
      <c r="V4" s="74" t="s">
        <v>28</v>
      </c>
      <c r="W4" s="91">
        <v>46</v>
      </c>
      <c r="X4" s="75">
        <v>86600</v>
      </c>
      <c r="Y4" s="13">
        <f t="shared" si="1"/>
        <v>1882.608695652174</v>
      </c>
      <c r="Z4" s="94">
        <f t="shared" ref="Z4:Z9" si="3">SUM((T4*U4)*Y4)</f>
        <v>86600</v>
      </c>
      <c r="AA4" s="15"/>
      <c r="AB4" s="15"/>
      <c r="AE4" s="65"/>
    </row>
    <row r="5" spans="1:31" x14ac:dyDescent="0.25">
      <c r="B5" t="s">
        <v>47</v>
      </c>
      <c r="C5" s="6">
        <v>0.25</v>
      </c>
      <c r="D5" s="71">
        <f>C5</f>
        <v>0.25</v>
      </c>
      <c r="F5" s="16" t="s">
        <v>5</v>
      </c>
      <c r="G5" s="16">
        <v>6</v>
      </c>
      <c r="H5" s="16">
        <v>82</v>
      </c>
      <c r="I5" s="8"/>
      <c r="J5" s="12"/>
      <c r="K5" s="120">
        <f t="shared" si="2"/>
        <v>135300</v>
      </c>
      <c r="L5" s="13"/>
      <c r="M5" s="8"/>
      <c r="N5" s="8"/>
      <c r="O5" s="15">
        <f>SUM(G5*H5)</f>
        <v>492</v>
      </c>
      <c r="P5" s="15"/>
      <c r="Q5" s="15"/>
      <c r="S5" s="16" t="s">
        <v>5</v>
      </c>
      <c r="T5" s="16">
        <v>6</v>
      </c>
      <c r="U5" s="16">
        <v>82</v>
      </c>
      <c r="V5" s="8" t="s">
        <v>14</v>
      </c>
      <c r="W5" s="8">
        <v>88</v>
      </c>
      <c r="X5" s="12">
        <v>133500</v>
      </c>
      <c r="Y5" s="13">
        <f t="shared" si="1"/>
        <v>1517.0454545454545</v>
      </c>
      <c r="Z5" s="94">
        <f t="shared" si="3"/>
        <v>746386.36363636365</v>
      </c>
      <c r="AA5" s="15"/>
      <c r="AB5" s="15"/>
      <c r="AE5" s="65"/>
    </row>
    <row r="6" spans="1:31" x14ac:dyDescent="0.25">
      <c r="F6" s="16" t="s">
        <v>6</v>
      </c>
      <c r="G6" s="16">
        <v>4</v>
      </c>
      <c r="H6" s="16">
        <v>110</v>
      </c>
      <c r="I6" s="8"/>
      <c r="J6" s="12"/>
      <c r="K6" s="120">
        <f t="shared" si="2"/>
        <v>181500</v>
      </c>
      <c r="L6" s="13"/>
      <c r="M6" s="8"/>
      <c r="N6" s="8"/>
      <c r="O6" s="15">
        <f>SUM(G6*H6)</f>
        <v>440</v>
      </c>
      <c r="P6" s="15"/>
      <c r="Q6" s="15"/>
      <c r="S6" s="16" t="s">
        <v>6</v>
      </c>
      <c r="T6" s="16">
        <v>4</v>
      </c>
      <c r="U6" s="16">
        <v>110</v>
      </c>
      <c r="V6" s="8" t="s">
        <v>20</v>
      </c>
      <c r="W6" s="8">
        <v>110</v>
      </c>
      <c r="X6" s="12">
        <v>166500</v>
      </c>
      <c r="Y6" s="13">
        <f t="shared" si="1"/>
        <v>1513.6363636363637</v>
      </c>
      <c r="Z6" s="94">
        <f t="shared" si="3"/>
        <v>666000</v>
      </c>
      <c r="AA6" s="15"/>
      <c r="AB6" s="15"/>
      <c r="AE6" s="65"/>
    </row>
    <row r="7" spans="1:31" x14ac:dyDescent="0.25">
      <c r="F7" s="16" t="s">
        <v>7</v>
      </c>
      <c r="G7" s="16">
        <v>5</v>
      </c>
      <c r="H7" s="16">
        <v>94</v>
      </c>
      <c r="I7" s="8"/>
      <c r="J7" s="12"/>
      <c r="K7" s="120">
        <f t="shared" si="2"/>
        <v>155100</v>
      </c>
      <c r="L7" s="13"/>
      <c r="M7" s="8"/>
      <c r="N7" s="8"/>
      <c r="O7" s="15">
        <f>SUM(G7*H7)</f>
        <v>470</v>
      </c>
      <c r="P7" s="15"/>
      <c r="Q7" s="15"/>
      <c r="S7" s="16" t="s">
        <v>7</v>
      </c>
      <c r="T7" s="16">
        <v>5</v>
      </c>
      <c r="U7" s="16">
        <v>94</v>
      </c>
      <c r="V7" s="8" t="s">
        <v>15</v>
      </c>
      <c r="W7" s="8">
        <v>94</v>
      </c>
      <c r="X7" s="12">
        <v>142600</v>
      </c>
      <c r="Y7" s="13">
        <f t="shared" si="1"/>
        <v>1517.0212765957447</v>
      </c>
      <c r="Z7" s="94">
        <f t="shared" si="3"/>
        <v>713000</v>
      </c>
      <c r="AA7" s="15"/>
      <c r="AB7" s="15"/>
      <c r="AE7" s="65"/>
    </row>
    <row r="8" spans="1:31" x14ac:dyDescent="0.25">
      <c r="F8" s="16" t="s">
        <v>8</v>
      </c>
      <c r="G8" s="16">
        <v>5</v>
      </c>
      <c r="H8" s="16">
        <v>120</v>
      </c>
      <c r="I8" s="8"/>
      <c r="J8" s="12"/>
      <c r="K8" s="120">
        <f t="shared" si="2"/>
        <v>198000</v>
      </c>
      <c r="L8" s="13"/>
      <c r="M8" s="8"/>
      <c r="N8" s="8"/>
      <c r="O8" s="15">
        <f>SUM(G8*H8)</f>
        <v>600</v>
      </c>
      <c r="P8" s="15"/>
      <c r="Q8" s="15"/>
      <c r="S8" s="16" t="s">
        <v>8</v>
      </c>
      <c r="T8" s="16">
        <v>5</v>
      </c>
      <c r="U8" s="16">
        <v>120</v>
      </c>
      <c r="V8" s="8" t="s">
        <v>16</v>
      </c>
      <c r="W8" s="8">
        <v>114</v>
      </c>
      <c r="X8" s="12">
        <v>176300</v>
      </c>
      <c r="Y8" s="13">
        <f t="shared" si="1"/>
        <v>1546.4912280701753</v>
      </c>
      <c r="Z8" s="94">
        <f t="shared" si="3"/>
        <v>927894.73684210517</v>
      </c>
      <c r="AA8" s="15"/>
      <c r="AB8" s="15"/>
      <c r="AE8" s="65"/>
    </row>
    <row r="9" spans="1:31" x14ac:dyDescent="0.25">
      <c r="F9" s="16" t="s">
        <v>9</v>
      </c>
      <c r="G9" s="16">
        <v>3</v>
      </c>
      <c r="H9" s="16">
        <v>135</v>
      </c>
      <c r="I9" s="8"/>
      <c r="J9" s="12"/>
      <c r="K9" s="120">
        <f t="shared" si="2"/>
        <v>222750</v>
      </c>
      <c r="L9" s="13"/>
      <c r="M9" s="8"/>
      <c r="N9" s="8"/>
      <c r="O9" s="15">
        <f>SUM(G9*H9)</f>
        <v>405</v>
      </c>
      <c r="P9" s="15"/>
      <c r="Q9" s="15"/>
      <c r="S9" s="16" t="s">
        <v>9</v>
      </c>
      <c r="T9" s="16">
        <v>3</v>
      </c>
      <c r="U9" s="16">
        <v>135</v>
      </c>
      <c r="V9" s="8" t="s">
        <v>16</v>
      </c>
      <c r="W9" s="8">
        <v>114</v>
      </c>
      <c r="X9" s="12">
        <v>176300</v>
      </c>
      <c r="Y9" s="13">
        <f t="shared" si="1"/>
        <v>1546.4912280701753</v>
      </c>
      <c r="Z9" s="94">
        <f t="shared" si="3"/>
        <v>626328.94736842101</v>
      </c>
      <c r="AA9" s="15"/>
      <c r="AB9" s="15"/>
      <c r="AE9" s="65"/>
    </row>
    <row r="10" spans="1:31" ht="15.75" x14ac:dyDescent="0.25">
      <c r="G10" s="3">
        <f>SUM(G3:G9)</f>
        <v>25</v>
      </c>
      <c r="H10" s="72"/>
      <c r="I10" s="72"/>
      <c r="J10" s="72"/>
      <c r="K10" s="72"/>
      <c r="L10" s="73"/>
      <c r="M10" s="28">
        <v>0</v>
      </c>
      <c r="N10" s="28">
        <f>SUM(N3)</f>
        <v>32042</v>
      </c>
      <c r="O10" s="62">
        <f>SUM(O3:O9)</f>
        <v>2499</v>
      </c>
      <c r="P10" s="1">
        <f>SUM(O4:O9)</f>
        <v>2453</v>
      </c>
      <c r="Q10" s="1"/>
      <c r="T10" s="3">
        <f>SUM(T3:T9)</f>
        <v>25</v>
      </c>
      <c r="Y10" s="31" t="s">
        <v>1</v>
      </c>
      <c r="Z10" s="93">
        <f>SUM(Z3:Z9)</f>
        <v>3852810.0478468901</v>
      </c>
      <c r="AA10" s="32">
        <f>SUM(Z10*0.05)</f>
        <v>192640.50239234453</v>
      </c>
      <c r="AB10" s="33">
        <f>SUM(AA10*0.604)</f>
        <v>116354.86344497609</v>
      </c>
      <c r="AE10" s="65"/>
    </row>
    <row r="11" spans="1:31" ht="15.75" x14ac:dyDescent="0.25">
      <c r="F11" s="95"/>
      <c r="G11" s="99"/>
      <c r="H11" s="45"/>
      <c r="L11" s="20"/>
      <c r="M11" s="36" t="s">
        <v>1</v>
      </c>
      <c r="N11" s="53">
        <f>N10</f>
        <v>32042</v>
      </c>
      <c r="O11" s="6" t="s">
        <v>141</v>
      </c>
      <c r="S11" s="95"/>
      <c r="T11" s="96"/>
      <c r="U11" s="45"/>
      <c r="V11" s="45"/>
      <c r="W11" s="45"/>
      <c r="AA11" s="34" t="s">
        <v>17</v>
      </c>
      <c r="AB11" s="11">
        <f>SUM(AB10/(T10*0.05))</f>
        <v>93083.890755980872</v>
      </c>
      <c r="AE11" s="65"/>
    </row>
    <row r="12" spans="1:31" x14ac:dyDescent="0.25">
      <c r="F12" s="95"/>
      <c r="G12" s="99"/>
      <c r="H12" s="45"/>
      <c r="M12" s="44" t="s">
        <v>40</v>
      </c>
      <c r="N12" s="11">
        <f>SUM(AB11*0.25)</f>
        <v>23270.972688995218</v>
      </c>
      <c r="O12" s="40" t="s">
        <v>35</v>
      </c>
      <c r="S12" s="45"/>
      <c r="T12" s="45"/>
      <c r="U12" s="45"/>
      <c r="V12" s="45"/>
      <c r="W12" s="45"/>
      <c r="AA12" s="2"/>
      <c r="AB12" s="5"/>
      <c r="AE12" s="65"/>
    </row>
    <row r="14" spans="1:31" x14ac:dyDescent="0.25">
      <c r="C14" s="6" t="s">
        <v>61</v>
      </c>
      <c r="D14" s="2" t="s">
        <v>60</v>
      </c>
      <c r="F14" s="2" t="s">
        <v>64</v>
      </c>
      <c r="S14" s="2" t="s">
        <v>105</v>
      </c>
    </row>
    <row r="15" spans="1:31" ht="32.25" x14ac:dyDescent="0.25">
      <c r="B15" s="6" t="s">
        <v>59</v>
      </c>
      <c r="C15" s="6">
        <f>SUM(30*0.05)</f>
        <v>1.5</v>
      </c>
      <c r="F15" s="3" t="s">
        <v>0</v>
      </c>
      <c r="G15" s="3" t="s">
        <v>2</v>
      </c>
      <c r="H15" s="3" t="s">
        <v>10</v>
      </c>
      <c r="I15" s="10" t="s">
        <v>34</v>
      </c>
      <c r="J15" s="10" t="s">
        <v>43</v>
      </c>
      <c r="K15" s="82" t="s">
        <v>69</v>
      </c>
      <c r="L15" s="10" t="s">
        <v>27</v>
      </c>
      <c r="M15" s="10" t="s">
        <v>29</v>
      </c>
      <c r="N15" s="10" t="s">
        <v>32</v>
      </c>
      <c r="O15" s="10" t="s">
        <v>163</v>
      </c>
      <c r="P15" s="54" t="s">
        <v>164</v>
      </c>
      <c r="Q15" s="54" t="s">
        <v>165</v>
      </c>
      <c r="S15" s="3" t="s">
        <v>0</v>
      </c>
      <c r="T15" s="3" t="s">
        <v>2</v>
      </c>
      <c r="U15" s="3" t="s">
        <v>10</v>
      </c>
      <c r="V15" s="7" t="s">
        <v>11</v>
      </c>
      <c r="W15" s="7" t="s">
        <v>10</v>
      </c>
      <c r="X15" s="7" t="s">
        <v>103</v>
      </c>
      <c r="Y15" s="7" t="s">
        <v>162</v>
      </c>
      <c r="Z15" s="7" t="s">
        <v>12</v>
      </c>
      <c r="AA15" s="7" t="s">
        <v>119</v>
      </c>
      <c r="AB15" s="10" t="s">
        <v>140</v>
      </c>
    </row>
    <row r="16" spans="1:31" x14ac:dyDescent="0.25">
      <c r="A16" s="6">
        <f>30*0.05</f>
        <v>1.5</v>
      </c>
      <c r="B16" s="6" t="s">
        <v>44</v>
      </c>
      <c r="C16" s="64">
        <f>A16*0.2</f>
        <v>0.30000000000000004</v>
      </c>
      <c r="D16" s="2">
        <v>0</v>
      </c>
      <c r="F16" s="18" t="s">
        <v>26</v>
      </c>
      <c r="G16" s="18">
        <v>1</v>
      </c>
      <c r="H16" s="17">
        <v>46</v>
      </c>
      <c r="I16" s="18" t="s">
        <v>28</v>
      </c>
      <c r="J16" s="41">
        <v>86600</v>
      </c>
      <c r="K16" s="120">
        <f t="shared" ref="K16:K23" si="4">SUM(H16*1650)</f>
        <v>75900</v>
      </c>
      <c r="L16" s="41">
        <f>SUM(J16*G16)</f>
        <v>86600</v>
      </c>
      <c r="M16" s="41"/>
      <c r="N16" s="42">
        <f>SUM(L16*0.37)</f>
        <v>32042</v>
      </c>
      <c r="O16" s="22">
        <f>SUM(G16*H16)</f>
        <v>46</v>
      </c>
      <c r="P16" s="15"/>
      <c r="Q16" s="61">
        <f>SUM(O15:O16)</f>
        <v>46</v>
      </c>
      <c r="S16" s="16" t="s">
        <v>63</v>
      </c>
      <c r="T16" s="16">
        <v>2</v>
      </c>
      <c r="U16" s="16">
        <v>46</v>
      </c>
      <c r="V16" s="74" t="s">
        <v>28</v>
      </c>
      <c r="W16" s="91">
        <v>46</v>
      </c>
      <c r="X16" s="94">
        <v>86600</v>
      </c>
      <c r="Y16" s="97">
        <f t="shared" ref="Y16" si="5">SUM(X16/W16)</f>
        <v>1882.608695652174</v>
      </c>
      <c r="Z16" s="94">
        <f>SUM(T16*U16*Y16)</f>
        <v>173200</v>
      </c>
      <c r="AA16" s="15"/>
      <c r="AB16" s="15"/>
    </row>
    <row r="17" spans="1:28" x14ac:dyDescent="0.25">
      <c r="A17" s="6">
        <f>A16</f>
        <v>1.5</v>
      </c>
      <c r="B17" s="6" t="s">
        <v>45</v>
      </c>
      <c r="C17" s="68">
        <f>A17*0.8</f>
        <v>1.2000000000000002</v>
      </c>
      <c r="D17" s="2">
        <v>1</v>
      </c>
      <c r="F17" s="74" t="s">
        <v>63</v>
      </c>
      <c r="G17" s="74">
        <v>1</v>
      </c>
      <c r="H17" s="16">
        <v>46</v>
      </c>
      <c r="I17" s="74"/>
      <c r="J17" s="75"/>
      <c r="K17" s="120">
        <f t="shared" si="4"/>
        <v>75900</v>
      </c>
      <c r="L17" s="75"/>
      <c r="M17" s="75"/>
      <c r="N17" s="76"/>
      <c r="O17" s="77">
        <f>SUM(G17*H17)</f>
        <v>46</v>
      </c>
      <c r="P17" s="78"/>
      <c r="Q17" s="78"/>
      <c r="S17" s="16" t="s">
        <v>4</v>
      </c>
      <c r="T17" s="16">
        <v>3</v>
      </c>
      <c r="U17" s="16">
        <v>78</v>
      </c>
      <c r="V17" s="8" t="s">
        <v>13</v>
      </c>
      <c r="W17" s="8">
        <v>83</v>
      </c>
      <c r="X17" s="92">
        <v>127100</v>
      </c>
      <c r="Y17" s="97">
        <f t="shared" ref="Y17:Y22" si="6">SUM(X17/W17)</f>
        <v>1531.3253012048192</v>
      </c>
      <c r="Z17" s="94">
        <f t="shared" ref="Z17:Z22" si="7">SUM(T17*U17*Y17)</f>
        <v>358330.1204819277</v>
      </c>
      <c r="AA17" s="15"/>
      <c r="AB17" s="15"/>
    </row>
    <row r="18" spans="1:28" x14ac:dyDescent="0.25">
      <c r="B18" t="s">
        <v>47</v>
      </c>
      <c r="C18" s="6">
        <v>0.5</v>
      </c>
      <c r="D18" s="2">
        <v>0.5</v>
      </c>
      <c r="F18" s="16" t="s">
        <v>4</v>
      </c>
      <c r="G18" s="79">
        <v>3</v>
      </c>
      <c r="H18" s="16">
        <v>78</v>
      </c>
      <c r="I18" s="8"/>
      <c r="J18" s="12"/>
      <c r="K18" s="120">
        <f t="shared" si="4"/>
        <v>128700</v>
      </c>
      <c r="L18" s="13"/>
      <c r="M18" s="15"/>
      <c r="N18" s="15"/>
      <c r="O18" s="15">
        <f t="shared" ref="O18:O23" si="8">SUM(G18*H18)</f>
        <v>234</v>
      </c>
      <c r="P18" s="15"/>
      <c r="Q18" s="15"/>
      <c r="S18" s="16" t="s">
        <v>5</v>
      </c>
      <c r="T18" s="16">
        <v>6</v>
      </c>
      <c r="U18" s="16">
        <v>82</v>
      </c>
      <c r="V18" s="8" t="s">
        <v>14</v>
      </c>
      <c r="W18" s="8">
        <v>88</v>
      </c>
      <c r="X18" s="92">
        <v>133500</v>
      </c>
      <c r="Y18" s="97">
        <f t="shared" si="6"/>
        <v>1517.0454545454545</v>
      </c>
      <c r="Z18" s="94">
        <f t="shared" si="7"/>
        <v>746386.36363636365</v>
      </c>
      <c r="AA18" s="15"/>
      <c r="AB18" s="15"/>
    </row>
    <row r="19" spans="1:28" x14ac:dyDescent="0.25">
      <c r="F19" s="16" t="s">
        <v>5</v>
      </c>
      <c r="G19" s="79">
        <v>6</v>
      </c>
      <c r="H19" s="16">
        <v>82</v>
      </c>
      <c r="I19" s="8"/>
      <c r="J19" s="12"/>
      <c r="K19" s="120">
        <f t="shared" si="4"/>
        <v>135300</v>
      </c>
      <c r="L19" s="13"/>
      <c r="M19" s="15"/>
      <c r="N19" s="15"/>
      <c r="O19" s="15">
        <f t="shared" si="8"/>
        <v>492</v>
      </c>
      <c r="P19" s="15"/>
      <c r="Q19" s="15"/>
      <c r="S19" s="16" t="s">
        <v>6</v>
      </c>
      <c r="T19" s="16">
        <v>5</v>
      </c>
      <c r="U19" s="16">
        <v>110</v>
      </c>
      <c r="V19" s="8" t="s">
        <v>20</v>
      </c>
      <c r="W19" s="8">
        <v>110</v>
      </c>
      <c r="X19" s="92">
        <v>166500</v>
      </c>
      <c r="Y19" s="97">
        <f t="shared" si="6"/>
        <v>1513.6363636363637</v>
      </c>
      <c r="Z19" s="94">
        <f t="shared" si="7"/>
        <v>832500</v>
      </c>
      <c r="AA19" s="15"/>
      <c r="AB19" s="15"/>
    </row>
    <row r="20" spans="1:28" x14ac:dyDescent="0.25">
      <c r="F20" s="16" t="s">
        <v>6</v>
      </c>
      <c r="G20" s="79">
        <v>5</v>
      </c>
      <c r="H20" s="16">
        <v>110</v>
      </c>
      <c r="I20" s="8"/>
      <c r="J20" s="12"/>
      <c r="K20" s="120">
        <f t="shared" si="4"/>
        <v>181500</v>
      </c>
      <c r="L20" s="13"/>
      <c r="M20" s="15"/>
      <c r="N20" s="15"/>
      <c r="O20" s="15">
        <f t="shared" si="8"/>
        <v>550</v>
      </c>
      <c r="P20" s="15"/>
      <c r="Q20" s="15"/>
      <c r="S20" s="16" t="s">
        <v>7</v>
      </c>
      <c r="T20" s="16">
        <v>6</v>
      </c>
      <c r="U20" s="16">
        <v>94</v>
      </c>
      <c r="V20" s="8" t="s">
        <v>15</v>
      </c>
      <c r="W20" s="8">
        <v>94</v>
      </c>
      <c r="X20" s="92">
        <v>142600</v>
      </c>
      <c r="Y20" s="97">
        <f t="shared" si="6"/>
        <v>1517.0212765957447</v>
      </c>
      <c r="Z20" s="94">
        <f t="shared" si="7"/>
        <v>855600</v>
      </c>
      <c r="AA20" s="15"/>
      <c r="AB20" s="15"/>
    </row>
    <row r="21" spans="1:28" x14ac:dyDescent="0.25">
      <c r="F21" s="16" t="s">
        <v>7</v>
      </c>
      <c r="G21" s="79">
        <v>6</v>
      </c>
      <c r="H21" s="16">
        <v>94</v>
      </c>
      <c r="I21" s="8"/>
      <c r="J21" s="12"/>
      <c r="K21" s="120">
        <f t="shared" si="4"/>
        <v>155100</v>
      </c>
      <c r="L21" s="13"/>
      <c r="M21" s="15"/>
      <c r="N21" s="15"/>
      <c r="O21" s="15">
        <f t="shared" si="8"/>
        <v>564</v>
      </c>
      <c r="P21" s="15"/>
      <c r="Q21" s="15"/>
      <c r="S21" s="16" t="s">
        <v>8</v>
      </c>
      <c r="T21" s="16">
        <v>6</v>
      </c>
      <c r="U21" s="16">
        <v>120</v>
      </c>
      <c r="V21" s="8" t="s">
        <v>16</v>
      </c>
      <c r="W21" s="8">
        <v>114</v>
      </c>
      <c r="X21" s="92">
        <v>176300</v>
      </c>
      <c r="Y21" s="97">
        <f t="shared" si="6"/>
        <v>1546.4912280701753</v>
      </c>
      <c r="Z21" s="94">
        <f t="shared" si="7"/>
        <v>1113473.6842105263</v>
      </c>
      <c r="AA21" s="15"/>
      <c r="AB21" s="15"/>
    </row>
    <row r="22" spans="1:28" x14ac:dyDescent="0.25">
      <c r="F22" s="16" t="s">
        <v>8</v>
      </c>
      <c r="G22" s="79">
        <v>6</v>
      </c>
      <c r="H22" s="16">
        <v>120</v>
      </c>
      <c r="I22" s="8"/>
      <c r="J22" s="12"/>
      <c r="K22" s="120">
        <f t="shared" si="4"/>
        <v>198000</v>
      </c>
      <c r="L22" s="13"/>
      <c r="M22" s="15"/>
      <c r="N22" s="15"/>
      <c r="O22" s="15">
        <f t="shared" si="8"/>
        <v>720</v>
      </c>
      <c r="P22" s="15"/>
      <c r="Q22" s="15"/>
      <c r="S22" s="16" t="s">
        <v>9</v>
      </c>
      <c r="T22" s="16">
        <v>2</v>
      </c>
      <c r="U22" s="16">
        <v>135</v>
      </c>
      <c r="V22" s="8" t="s">
        <v>16</v>
      </c>
      <c r="W22" s="8">
        <v>114</v>
      </c>
      <c r="X22" s="92">
        <v>176300</v>
      </c>
      <c r="Y22" s="97">
        <f t="shared" si="6"/>
        <v>1546.4912280701753</v>
      </c>
      <c r="Z22" s="94">
        <f t="shared" si="7"/>
        <v>417552.63157894736</v>
      </c>
      <c r="AA22" s="15"/>
      <c r="AB22" s="15"/>
    </row>
    <row r="23" spans="1:28" ht="15.75" x14ac:dyDescent="0.25">
      <c r="F23" s="16" t="s">
        <v>9</v>
      </c>
      <c r="G23" s="16">
        <v>2</v>
      </c>
      <c r="H23" s="16">
        <v>135</v>
      </c>
      <c r="I23" s="8"/>
      <c r="J23" s="12"/>
      <c r="K23" s="120">
        <f t="shared" si="4"/>
        <v>222750</v>
      </c>
      <c r="L23" s="13"/>
      <c r="M23" s="15"/>
      <c r="N23" s="15"/>
      <c r="O23" s="15">
        <f t="shared" si="8"/>
        <v>270</v>
      </c>
      <c r="P23" s="15"/>
      <c r="Q23" s="15"/>
      <c r="T23" s="3">
        <f>SUM(T16:T22)</f>
        <v>30</v>
      </c>
      <c r="Y23" s="31" t="s">
        <v>1</v>
      </c>
      <c r="Z23" s="32">
        <f>SUM(Z16:Z22)</f>
        <v>4497042.7999077644</v>
      </c>
      <c r="AA23" s="32">
        <f>SUM(Z23*0.05)</f>
        <v>224852.13999538822</v>
      </c>
      <c r="AB23" s="33">
        <f>SUM(AA23*0.604)</f>
        <v>135810.69255721447</v>
      </c>
    </row>
    <row r="24" spans="1:28" x14ac:dyDescent="0.25">
      <c r="G24" s="3">
        <f>SUM(G16:G23)</f>
        <v>30</v>
      </c>
      <c r="L24" s="52"/>
      <c r="M24" s="28">
        <f>SUM(M16)</f>
        <v>0</v>
      </c>
      <c r="N24" s="30">
        <f>SUM(N16)</f>
        <v>32042</v>
      </c>
      <c r="O24" s="62">
        <f>SUM(O16:O23)</f>
        <v>2922</v>
      </c>
      <c r="P24" s="1">
        <f>SUM(O17:O23)</f>
        <v>2876</v>
      </c>
      <c r="Q24" s="15"/>
      <c r="S24" s="95"/>
      <c r="T24" s="96"/>
      <c r="U24" s="45"/>
      <c r="V24" s="45"/>
      <c r="W24" s="45"/>
      <c r="X24" s="45"/>
      <c r="AA24" s="34" t="s">
        <v>17</v>
      </c>
      <c r="AB24" s="11">
        <f>SUM(AB23/(T23*0.05))</f>
        <v>90540.461704809641</v>
      </c>
    </row>
    <row r="25" spans="1:28" ht="15.75" x14ac:dyDescent="0.25">
      <c r="F25" s="95"/>
      <c r="G25" s="99"/>
      <c r="H25" s="45"/>
      <c r="L25" s="20"/>
      <c r="M25" s="36" t="s">
        <v>1</v>
      </c>
      <c r="N25" s="53">
        <f>SUM(M24:N24)</f>
        <v>32042</v>
      </c>
      <c r="O25" s="6" t="s">
        <v>141</v>
      </c>
      <c r="S25" s="45"/>
      <c r="T25" s="45"/>
      <c r="U25" s="45"/>
      <c r="V25" s="45"/>
      <c r="W25" s="45"/>
      <c r="X25" s="45"/>
      <c r="AA25" s="2"/>
      <c r="AB25" s="5"/>
    </row>
    <row r="26" spans="1:28" x14ac:dyDescent="0.25">
      <c r="F26" s="95"/>
      <c r="G26" s="99"/>
      <c r="H26" s="45"/>
      <c r="M26" s="44" t="s">
        <v>30</v>
      </c>
      <c r="N26" s="11">
        <f>SUM(AB24*0.5)</f>
        <v>45270.23085240482</v>
      </c>
      <c r="O26" s="40" t="s">
        <v>35</v>
      </c>
      <c r="S26" s="45"/>
      <c r="T26" s="45"/>
      <c r="U26" s="45"/>
      <c r="V26" s="45"/>
      <c r="W26" s="45"/>
      <c r="X26" s="45"/>
      <c r="AA26" s="2"/>
      <c r="AB26" s="5"/>
    </row>
    <row r="28" spans="1:28" x14ac:dyDescent="0.25">
      <c r="C28" s="6" t="s">
        <v>61</v>
      </c>
      <c r="D28" s="2" t="s">
        <v>60</v>
      </c>
      <c r="F28" s="2" t="s">
        <v>65</v>
      </c>
      <c r="S28" s="2" t="s">
        <v>106</v>
      </c>
    </row>
    <row r="29" spans="1:28" ht="32.25" x14ac:dyDescent="0.25">
      <c r="B29" s="6" t="s">
        <v>59</v>
      </c>
      <c r="C29" s="6">
        <f>SUM(35*0.05)</f>
        <v>1.75</v>
      </c>
      <c r="F29" s="3" t="s">
        <v>0</v>
      </c>
      <c r="G29" s="3" t="s">
        <v>2</v>
      </c>
      <c r="H29" s="3" t="s">
        <v>10</v>
      </c>
      <c r="I29" s="10" t="s">
        <v>34</v>
      </c>
      <c r="J29" s="10" t="s">
        <v>43</v>
      </c>
      <c r="K29" s="82" t="s">
        <v>69</v>
      </c>
      <c r="L29" s="10" t="s">
        <v>27</v>
      </c>
      <c r="M29" s="10" t="s">
        <v>29</v>
      </c>
      <c r="N29" s="10" t="s">
        <v>32</v>
      </c>
      <c r="O29" s="10" t="s">
        <v>163</v>
      </c>
      <c r="P29" s="54" t="s">
        <v>164</v>
      </c>
      <c r="Q29" s="54" t="s">
        <v>165</v>
      </c>
      <c r="S29" s="3" t="s">
        <v>0</v>
      </c>
      <c r="T29" s="3" t="s">
        <v>2</v>
      </c>
      <c r="U29" s="3" t="s">
        <v>10</v>
      </c>
      <c r="V29" s="7" t="s">
        <v>11</v>
      </c>
      <c r="W29" s="7" t="s">
        <v>10</v>
      </c>
      <c r="X29" s="7" t="s">
        <v>103</v>
      </c>
      <c r="Y29" s="7" t="s">
        <v>162</v>
      </c>
      <c r="Z29" s="7" t="s">
        <v>12</v>
      </c>
      <c r="AA29" s="7" t="s">
        <v>119</v>
      </c>
      <c r="AB29" s="10" t="s">
        <v>140</v>
      </c>
    </row>
    <row r="30" spans="1:28" x14ac:dyDescent="0.25">
      <c r="A30" s="6">
        <f>35*0.05</f>
        <v>1.75</v>
      </c>
      <c r="B30" s="6" t="s">
        <v>44</v>
      </c>
      <c r="C30" s="64">
        <f>A30*0.2</f>
        <v>0.35000000000000003</v>
      </c>
      <c r="D30" s="2">
        <v>0</v>
      </c>
      <c r="F30" s="18" t="s">
        <v>26</v>
      </c>
      <c r="G30" s="18">
        <v>1</v>
      </c>
      <c r="H30" s="17">
        <v>46</v>
      </c>
      <c r="I30" s="18" t="s">
        <v>28</v>
      </c>
      <c r="J30" s="41">
        <v>86600</v>
      </c>
      <c r="K30" s="120">
        <f t="shared" ref="K30:K37" si="9">SUM(H30*1650)</f>
        <v>75900</v>
      </c>
      <c r="L30" s="41">
        <f>SUM(J30*G30)</f>
        <v>86600</v>
      </c>
      <c r="M30" s="41"/>
      <c r="N30" s="42">
        <f>SUM(L30*0.37)</f>
        <v>32042</v>
      </c>
      <c r="O30" s="22">
        <f>SUM(G30*H30)</f>
        <v>46</v>
      </c>
      <c r="P30" s="15"/>
      <c r="Q30" s="61">
        <f>SUM(O29:O30)</f>
        <v>46</v>
      </c>
      <c r="S30" s="16" t="s">
        <v>63</v>
      </c>
      <c r="T30" s="16">
        <v>2</v>
      </c>
      <c r="U30" s="16">
        <v>46</v>
      </c>
      <c r="V30" s="74" t="s">
        <v>28</v>
      </c>
      <c r="W30" s="91">
        <v>46</v>
      </c>
      <c r="X30" s="94">
        <v>86600</v>
      </c>
      <c r="Y30" s="97">
        <f t="shared" ref="Y30" si="10">SUM(X30/W30)</f>
        <v>1882.608695652174</v>
      </c>
      <c r="Z30" s="92">
        <f t="shared" ref="Z30" si="11">SUM((T30*U30)*Y30)</f>
        <v>173200</v>
      </c>
      <c r="AA30" s="15"/>
      <c r="AB30" s="15"/>
    </row>
    <row r="31" spans="1:28" x14ac:dyDescent="0.25">
      <c r="A31" s="6">
        <f>A30</f>
        <v>1.75</v>
      </c>
      <c r="B31" s="6" t="s">
        <v>45</v>
      </c>
      <c r="C31" s="68">
        <f>A31*0.8</f>
        <v>1.4000000000000001</v>
      </c>
      <c r="D31" s="2">
        <v>1</v>
      </c>
      <c r="F31" s="74" t="s">
        <v>63</v>
      </c>
      <c r="G31" s="74">
        <v>1</v>
      </c>
      <c r="H31" s="16">
        <v>46</v>
      </c>
      <c r="I31" s="74"/>
      <c r="J31" s="75"/>
      <c r="K31" s="120">
        <f t="shared" si="9"/>
        <v>75900</v>
      </c>
      <c r="L31" s="75"/>
      <c r="M31" s="75"/>
      <c r="N31" s="76"/>
      <c r="O31" s="77">
        <f>SUM(G31*H31)</f>
        <v>46</v>
      </c>
      <c r="P31" s="78"/>
      <c r="Q31" s="78"/>
      <c r="S31" s="16" t="s">
        <v>3</v>
      </c>
      <c r="T31" s="16">
        <v>5</v>
      </c>
      <c r="U31" s="16">
        <v>67</v>
      </c>
      <c r="V31" s="8" t="s">
        <v>13</v>
      </c>
      <c r="W31" s="8">
        <v>83</v>
      </c>
      <c r="X31" s="12">
        <v>127100</v>
      </c>
      <c r="Y31" s="13">
        <f t="shared" ref="Y31:Y36" si="12">SUM(X31/W31)</f>
        <v>1531.3253012048192</v>
      </c>
      <c r="Z31" s="12">
        <f t="shared" ref="Z31:Z36" si="13">SUM((T31*U31)*Y31)</f>
        <v>512993.97590361442</v>
      </c>
      <c r="AA31" s="15"/>
      <c r="AB31" s="15"/>
    </row>
    <row r="32" spans="1:28" x14ac:dyDescent="0.25">
      <c r="B32" t="s">
        <v>47</v>
      </c>
      <c r="C32" s="6">
        <v>0.75</v>
      </c>
      <c r="D32" s="2">
        <f>C32</f>
        <v>0.75</v>
      </c>
      <c r="F32" s="16" t="s">
        <v>3</v>
      </c>
      <c r="G32" s="16">
        <v>5</v>
      </c>
      <c r="H32" s="16">
        <v>67</v>
      </c>
      <c r="I32" s="8"/>
      <c r="J32" s="12"/>
      <c r="K32" s="120">
        <f t="shared" si="9"/>
        <v>110550</v>
      </c>
      <c r="L32" s="13"/>
      <c r="M32" s="15"/>
      <c r="N32" s="15"/>
      <c r="O32" s="15">
        <f>SUM(G32*H32)</f>
        <v>335</v>
      </c>
      <c r="P32" s="15"/>
      <c r="Q32" s="15"/>
      <c r="S32" s="16" t="s">
        <v>4</v>
      </c>
      <c r="T32" s="16">
        <v>4</v>
      </c>
      <c r="U32" s="16">
        <v>78</v>
      </c>
      <c r="V32" s="8" t="s">
        <v>13</v>
      </c>
      <c r="W32" s="8">
        <v>83</v>
      </c>
      <c r="X32" s="12">
        <v>127100</v>
      </c>
      <c r="Y32" s="13">
        <f t="shared" si="12"/>
        <v>1531.3253012048192</v>
      </c>
      <c r="Z32" s="12">
        <f t="shared" si="13"/>
        <v>477773.49397590361</v>
      </c>
      <c r="AA32" s="15"/>
      <c r="AB32" s="15"/>
    </row>
    <row r="33" spans="1:28" x14ac:dyDescent="0.25">
      <c r="F33" s="16" t="s">
        <v>4</v>
      </c>
      <c r="G33" s="16">
        <v>4</v>
      </c>
      <c r="H33" s="16">
        <v>78</v>
      </c>
      <c r="I33" s="8"/>
      <c r="J33" s="12"/>
      <c r="K33" s="120">
        <f t="shared" si="9"/>
        <v>128700</v>
      </c>
      <c r="L33" s="13"/>
      <c r="M33" s="15"/>
      <c r="N33" s="15"/>
      <c r="O33" s="15">
        <f t="shared" ref="O33:O37" si="14">SUM(G33*H33)</f>
        <v>312</v>
      </c>
      <c r="P33" s="15"/>
      <c r="Q33" s="15"/>
      <c r="S33" s="16" t="s">
        <v>5</v>
      </c>
      <c r="T33" s="16">
        <v>8</v>
      </c>
      <c r="U33" s="16">
        <v>82</v>
      </c>
      <c r="V33" s="8" t="s">
        <v>14</v>
      </c>
      <c r="W33" s="8">
        <v>88</v>
      </c>
      <c r="X33" s="12">
        <v>133500</v>
      </c>
      <c r="Y33" s="13">
        <f t="shared" si="12"/>
        <v>1517.0454545454545</v>
      </c>
      <c r="Z33" s="12">
        <f t="shared" si="13"/>
        <v>995181.81818181812</v>
      </c>
      <c r="AA33" s="15"/>
      <c r="AB33" s="15"/>
    </row>
    <row r="34" spans="1:28" x14ac:dyDescent="0.25">
      <c r="F34" s="16" t="s">
        <v>5</v>
      </c>
      <c r="G34" s="16">
        <v>8</v>
      </c>
      <c r="H34" s="16">
        <v>82</v>
      </c>
      <c r="I34" s="8"/>
      <c r="J34" s="12"/>
      <c r="K34" s="120">
        <f t="shared" si="9"/>
        <v>135300</v>
      </c>
      <c r="L34" s="13"/>
      <c r="M34" s="15"/>
      <c r="N34" s="15"/>
      <c r="O34" s="15">
        <f t="shared" si="14"/>
        <v>656</v>
      </c>
      <c r="P34" s="15"/>
      <c r="Q34" s="15"/>
      <c r="S34" s="16" t="s">
        <v>6</v>
      </c>
      <c r="T34" s="16">
        <v>4</v>
      </c>
      <c r="U34" s="16">
        <v>110</v>
      </c>
      <c r="V34" s="8" t="s">
        <v>20</v>
      </c>
      <c r="W34" s="8">
        <v>110</v>
      </c>
      <c r="X34" s="12">
        <v>166500</v>
      </c>
      <c r="Y34" s="13">
        <f t="shared" si="12"/>
        <v>1513.6363636363637</v>
      </c>
      <c r="Z34" s="12">
        <f t="shared" si="13"/>
        <v>666000</v>
      </c>
      <c r="AA34" s="15"/>
      <c r="AB34" s="15"/>
    </row>
    <row r="35" spans="1:28" x14ac:dyDescent="0.25">
      <c r="F35" s="16" t="s">
        <v>6</v>
      </c>
      <c r="G35" s="16">
        <v>4</v>
      </c>
      <c r="H35" s="16">
        <v>110</v>
      </c>
      <c r="I35" s="8"/>
      <c r="J35" s="12"/>
      <c r="K35" s="120">
        <f t="shared" si="9"/>
        <v>181500</v>
      </c>
      <c r="L35" s="13"/>
      <c r="M35" s="15"/>
      <c r="N35" s="15"/>
      <c r="O35" s="15">
        <f t="shared" si="14"/>
        <v>440</v>
      </c>
      <c r="P35" s="15"/>
      <c r="Q35" s="15"/>
      <c r="S35" s="16" t="s">
        <v>7</v>
      </c>
      <c r="T35" s="16">
        <v>6</v>
      </c>
      <c r="U35" s="16">
        <v>94</v>
      </c>
      <c r="V35" s="8" t="s">
        <v>15</v>
      </c>
      <c r="W35" s="8">
        <v>94</v>
      </c>
      <c r="X35" s="12">
        <v>142600</v>
      </c>
      <c r="Y35" s="13">
        <f t="shared" si="12"/>
        <v>1517.0212765957447</v>
      </c>
      <c r="Z35" s="12">
        <f t="shared" si="13"/>
        <v>855600</v>
      </c>
      <c r="AA35" s="15"/>
      <c r="AB35" s="15"/>
    </row>
    <row r="36" spans="1:28" x14ac:dyDescent="0.25">
      <c r="F36" s="16" t="s">
        <v>7</v>
      </c>
      <c r="G36" s="16">
        <v>6</v>
      </c>
      <c r="H36" s="16">
        <v>94</v>
      </c>
      <c r="I36" s="8"/>
      <c r="J36" s="12"/>
      <c r="K36" s="120">
        <f t="shared" si="9"/>
        <v>155100</v>
      </c>
      <c r="L36" s="13"/>
      <c r="M36" s="15"/>
      <c r="N36" s="15"/>
      <c r="O36" s="15">
        <f t="shared" si="14"/>
        <v>564</v>
      </c>
      <c r="P36" s="15"/>
      <c r="Q36" s="15"/>
      <c r="S36" s="16" t="s">
        <v>8</v>
      </c>
      <c r="T36" s="16">
        <v>6</v>
      </c>
      <c r="U36" s="16">
        <v>120</v>
      </c>
      <c r="V36" s="8" t="s">
        <v>16</v>
      </c>
      <c r="W36" s="8">
        <v>114</v>
      </c>
      <c r="X36" s="12">
        <v>176300</v>
      </c>
      <c r="Y36" s="13">
        <f t="shared" si="12"/>
        <v>1546.4912280701753</v>
      </c>
      <c r="Z36" s="12">
        <f t="shared" si="13"/>
        <v>1113473.6842105263</v>
      </c>
      <c r="AA36" s="15"/>
      <c r="AB36" s="15"/>
    </row>
    <row r="37" spans="1:28" ht="15.75" x14ac:dyDescent="0.25">
      <c r="F37" s="16" t="s">
        <v>8</v>
      </c>
      <c r="G37" s="16">
        <v>6</v>
      </c>
      <c r="H37" s="16">
        <v>120</v>
      </c>
      <c r="I37" s="8"/>
      <c r="J37" s="12"/>
      <c r="K37" s="120">
        <f t="shared" si="9"/>
        <v>198000</v>
      </c>
      <c r="L37" s="13"/>
      <c r="M37" s="15"/>
      <c r="N37" s="15"/>
      <c r="O37" s="15">
        <f t="shared" si="14"/>
        <v>720</v>
      </c>
      <c r="P37" s="15"/>
      <c r="Q37" s="15"/>
      <c r="T37" s="3">
        <f>SUM(T30:T36)</f>
        <v>35</v>
      </c>
      <c r="Y37" s="31" t="s">
        <v>1</v>
      </c>
      <c r="Z37" s="98">
        <f>SUM(Z30:Z36)</f>
        <v>4794222.9722718624</v>
      </c>
      <c r="AA37" s="32">
        <f>SUM(Z37*0.05)</f>
        <v>239711.14861359313</v>
      </c>
      <c r="AB37" s="33">
        <f>SUM(AA37*0.604)</f>
        <v>144785.53376261026</v>
      </c>
    </row>
    <row r="38" spans="1:28" x14ac:dyDescent="0.25">
      <c r="G38" s="3">
        <f>SUM(G30:G37)</f>
        <v>35</v>
      </c>
      <c r="L38" s="52"/>
      <c r="M38" s="28">
        <f>M30</f>
        <v>0</v>
      </c>
      <c r="N38" s="30">
        <f>SUM(N30)</f>
        <v>32042</v>
      </c>
      <c r="O38" s="62">
        <f>SUM(O30:O37)</f>
        <v>3119</v>
      </c>
      <c r="P38" s="1">
        <f>SUM(O31:O37)</f>
        <v>3073</v>
      </c>
      <c r="Q38" s="1"/>
      <c r="S38" s="95"/>
      <c r="T38" s="96"/>
      <c r="U38" s="45"/>
      <c r="V38" s="45"/>
      <c r="W38" s="45"/>
      <c r="AA38" s="34" t="s">
        <v>17</v>
      </c>
      <c r="AB38" s="11">
        <f>SUM(AB37/(T37*0.05))</f>
        <v>82734.590721491579</v>
      </c>
    </row>
    <row r="39" spans="1:28" ht="15.75" x14ac:dyDescent="0.25">
      <c r="F39" s="95"/>
      <c r="G39" s="99"/>
      <c r="H39" s="45"/>
      <c r="L39" s="20"/>
      <c r="M39" s="36" t="s">
        <v>1</v>
      </c>
      <c r="N39" s="53">
        <f>SUM(M38:N38)</f>
        <v>32042</v>
      </c>
      <c r="O39" s="6" t="s">
        <v>141</v>
      </c>
      <c r="S39" s="45"/>
      <c r="T39" s="45"/>
      <c r="U39" s="45"/>
      <c r="V39" s="45"/>
      <c r="W39" s="45"/>
      <c r="AA39" s="2"/>
      <c r="AB39" s="5"/>
    </row>
    <row r="40" spans="1:28" x14ac:dyDescent="0.25">
      <c r="F40" s="95"/>
      <c r="G40" s="99"/>
      <c r="H40" s="45"/>
      <c r="M40" s="44" t="s">
        <v>42</v>
      </c>
      <c r="N40" s="11">
        <f>SUM(AB38*0.75)</f>
        <v>62050.943041118684</v>
      </c>
      <c r="O40" s="40" t="s">
        <v>35</v>
      </c>
      <c r="AA40" s="2"/>
      <c r="AB40" s="5"/>
    </row>
    <row r="41" spans="1:28" x14ac:dyDescent="0.25"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x14ac:dyDescent="0.25">
      <c r="C42" s="6" t="s">
        <v>61</v>
      </c>
      <c r="D42" s="2" t="s">
        <v>60</v>
      </c>
      <c r="F42" s="2" t="s">
        <v>66</v>
      </c>
      <c r="S42" s="47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32.25" x14ac:dyDescent="0.25">
      <c r="B43" s="6" t="s">
        <v>59</v>
      </c>
      <c r="C43" s="6">
        <f>SUM(40*0.05)</f>
        <v>2</v>
      </c>
      <c r="F43" s="3" t="s">
        <v>0</v>
      </c>
      <c r="G43" s="3" t="s">
        <v>2</v>
      </c>
      <c r="H43" s="3" t="s">
        <v>10</v>
      </c>
      <c r="I43" s="10" t="s">
        <v>34</v>
      </c>
      <c r="J43" s="10" t="s">
        <v>43</v>
      </c>
      <c r="K43" s="82" t="s">
        <v>69</v>
      </c>
      <c r="L43" s="10" t="s">
        <v>27</v>
      </c>
      <c r="M43" s="10" t="s">
        <v>29</v>
      </c>
      <c r="N43" s="10" t="s">
        <v>32</v>
      </c>
      <c r="O43" s="10" t="s">
        <v>163</v>
      </c>
      <c r="P43" s="54" t="s">
        <v>164</v>
      </c>
      <c r="Q43" s="54" t="s">
        <v>165</v>
      </c>
      <c r="S43" s="37"/>
      <c r="T43" s="37"/>
      <c r="U43" s="37"/>
      <c r="V43" s="103"/>
      <c r="W43" s="103"/>
      <c r="X43" s="103"/>
      <c r="Y43" s="103"/>
      <c r="Z43" s="103"/>
      <c r="AA43" s="103"/>
      <c r="AB43" s="104"/>
    </row>
    <row r="44" spans="1:28" x14ac:dyDescent="0.25">
      <c r="A44" s="6">
        <f>40*0.05</f>
        <v>2</v>
      </c>
      <c r="B44" s="6" t="s">
        <v>44</v>
      </c>
      <c r="C44" s="64">
        <f>A44*0.2</f>
        <v>0.4</v>
      </c>
      <c r="D44" s="2">
        <v>0</v>
      </c>
      <c r="F44" s="18" t="s">
        <v>26</v>
      </c>
      <c r="G44" s="18">
        <v>2</v>
      </c>
      <c r="H44" s="17">
        <v>46</v>
      </c>
      <c r="I44" s="18" t="s">
        <v>28</v>
      </c>
      <c r="J44" s="41">
        <v>86600</v>
      </c>
      <c r="K44" s="120">
        <f t="shared" ref="K44:K51" si="15">SUM(H44*1650)</f>
        <v>75900</v>
      </c>
      <c r="L44" s="41">
        <f>SUM(J44*G44)</f>
        <v>173200</v>
      </c>
      <c r="M44" s="41"/>
      <c r="N44" s="42">
        <f>SUM(L44*0.37)</f>
        <v>64084</v>
      </c>
      <c r="O44" s="22">
        <f>SUM(G44*H44)</f>
        <v>92</v>
      </c>
      <c r="P44" s="15"/>
      <c r="Q44" s="61">
        <f>O44</f>
        <v>92</v>
      </c>
      <c r="S44" s="45"/>
      <c r="T44" s="45"/>
      <c r="U44" s="45"/>
      <c r="V44" s="105"/>
      <c r="W44" s="106"/>
      <c r="X44" s="107"/>
      <c r="Y44" s="108"/>
      <c r="Z44" s="25"/>
      <c r="AA44" s="45"/>
      <c r="AB44" s="45"/>
    </row>
    <row r="45" spans="1:28" x14ac:dyDescent="0.25">
      <c r="A45" s="6">
        <f>A44</f>
        <v>2</v>
      </c>
      <c r="B45" s="6" t="s">
        <v>45</v>
      </c>
      <c r="C45" s="68">
        <f>A45*0.8</f>
        <v>1.6</v>
      </c>
      <c r="D45" s="2">
        <v>2</v>
      </c>
      <c r="F45" s="16" t="s">
        <v>3</v>
      </c>
      <c r="G45" s="16">
        <v>6</v>
      </c>
      <c r="H45" s="16">
        <v>67</v>
      </c>
      <c r="I45" s="8"/>
      <c r="J45" s="12"/>
      <c r="K45" s="120">
        <f t="shared" si="15"/>
        <v>110550</v>
      </c>
      <c r="L45" s="13"/>
      <c r="M45" s="15"/>
      <c r="N45" s="15"/>
      <c r="O45" s="15">
        <f>SUM(G45*H45)</f>
        <v>402</v>
      </c>
      <c r="P45" s="15"/>
      <c r="Q45" s="15"/>
      <c r="V45" s="24"/>
      <c r="W45" s="24"/>
      <c r="X45" s="25"/>
      <c r="Y45" s="109"/>
      <c r="Z45" s="25"/>
      <c r="AA45" s="45"/>
      <c r="AB45" s="45"/>
    </row>
    <row r="46" spans="1:28" x14ac:dyDescent="0.25">
      <c r="B46" t="s">
        <v>47</v>
      </c>
      <c r="C46" s="6">
        <v>0.75</v>
      </c>
      <c r="D46" s="2">
        <v>0</v>
      </c>
      <c r="F46" s="16" t="s">
        <v>4</v>
      </c>
      <c r="G46" s="16">
        <v>4</v>
      </c>
      <c r="H46" s="16">
        <v>78</v>
      </c>
      <c r="I46" s="8"/>
      <c r="J46" s="12"/>
      <c r="K46" s="120">
        <f t="shared" si="15"/>
        <v>128700</v>
      </c>
      <c r="L46" s="13"/>
      <c r="M46" s="15"/>
      <c r="N46" s="15"/>
      <c r="O46" s="15">
        <f t="shared" ref="O46:O51" si="16">SUM(G46*H46)</f>
        <v>312</v>
      </c>
      <c r="P46" s="15"/>
      <c r="Q46" s="15"/>
      <c r="S46" s="45"/>
      <c r="T46" s="45"/>
      <c r="U46" s="45"/>
      <c r="V46" s="24"/>
      <c r="W46" s="24"/>
      <c r="X46" s="25"/>
      <c r="Y46" s="109"/>
      <c r="Z46" s="25"/>
      <c r="AA46" s="45"/>
      <c r="AB46" s="45"/>
    </row>
    <row r="47" spans="1:28" x14ac:dyDescent="0.25">
      <c r="F47" s="16" t="s">
        <v>18</v>
      </c>
      <c r="G47" s="16">
        <v>2</v>
      </c>
      <c r="H47" s="16">
        <v>110</v>
      </c>
      <c r="I47" s="8"/>
      <c r="J47" s="12"/>
      <c r="K47" s="120">
        <f t="shared" si="15"/>
        <v>181500</v>
      </c>
      <c r="L47" s="13"/>
      <c r="M47" s="15"/>
      <c r="N47" s="15"/>
      <c r="O47" s="15">
        <f t="shared" si="16"/>
        <v>220</v>
      </c>
      <c r="P47" s="15"/>
      <c r="Q47" s="15"/>
      <c r="S47" s="45"/>
      <c r="T47" s="45"/>
      <c r="U47" s="45"/>
      <c r="V47" s="24"/>
      <c r="W47" s="24"/>
      <c r="X47" s="25"/>
      <c r="Y47" s="109"/>
      <c r="Z47" s="25"/>
      <c r="AA47" s="45"/>
      <c r="AB47" s="45"/>
    </row>
    <row r="48" spans="1:28" x14ac:dyDescent="0.25">
      <c r="F48" s="16" t="s">
        <v>5</v>
      </c>
      <c r="G48" s="16">
        <v>8</v>
      </c>
      <c r="H48" s="16">
        <v>82</v>
      </c>
      <c r="I48" s="8"/>
      <c r="J48" s="12"/>
      <c r="K48" s="120">
        <f t="shared" si="15"/>
        <v>135300</v>
      </c>
      <c r="L48" s="13"/>
      <c r="M48" s="15"/>
      <c r="N48" s="15"/>
      <c r="O48" s="15">
        <f t="shared" si="16"/>
        <v>656</v>
      </c>
      <c r="P48" s="15"/>
      <c r="Q48" s="15"/>
      <c r="S48" s="47"/>
      <c r="T48" s="45"/>
      <c r="U48" s="45"/>
      <c r="V48" s="24"/>
      <c r="W48" s="24"/>
      <c r="X48" s="25"/>
      <c r="Y48" s="109"/>
      <c r="Z48" s="25"/>
      <c r="AA48" s="45"/>
      <c r="AB48" s="45"/>
    </row>
    <row r="49" spans="6:28" x14ac:dyDescent="0.25">
      <c r="F49" s="16" t="s">
        <v>6</v>
      </c>
      <c r="G49" s="16">
        <v>4</v>
      </c>
      <c r="H49" s="16">
        <v>110</v>
      </c>
      <c r="I49" s="8"/>
      <c r="J49" s="12"/>
      <c r="K49" s="120">
        <f t="shared" si="15"/>
        <v>181500</v>
      </c>
      <c r="L49" s="13"/>
      <c r="M49" s="15"/>
      <c r="N49" s="15"/>
      <c r="O49" s="15">
        <f t="shared" si="16"/>
        <v>440</v>
      </c>
      <c r="P49" s="15"/>
      <c r="Q49" s="15"/>
      <c r="S49" s="45"/>
      <c r="T49" s="45"/>
      <c r="U49" s="45"/>
      <c r="V49" s="24"/>
      <c r="W49" s="24"/>
      <c r="X49" s="25"/>
      <c r="Y49" s="109"/>
      <c r="Z49" s="25"/>
      <c r="AA49" s="45"/>
      <c r="AB49" s="45"/>
    </row>
    <row r="50" spans="6:28" x14ac:dyDescent="0.25">
      <c r="F50" s="16" t="s">
        <v>7</v>
      </c>
      <c r="G50" s="16">
        <v>8</v>
      </c>
      <c r="H50" s="16">
        <v>94</v>
      </c>
      <c r="I50" s="8"/>
      <c r="J50" s="12"/>
      <c r="K50" s="120">
        <f t="shared" si="15"/>
        <v>155100</v>
      </c>
      <c r="L50" s="13"/>
      <c r="M50" s="15"/>
      <c r="N50" s="15"/>
      <c r="O50" s="15">
        <f t="shared" si="16"/>
        <v>752</v>
      </c>
      <c r="P50" s="15"/>
      <c r="Q50" s="15"/>
      <c r="V50" s="24"/>
      <c r="W50" s="24"/>
      <c r="X50" s="25"/>
      <c r="Y50" s="109"/>
      <c r="Z50" s="25"/>
      <c r="AA50" s="45"/>
      <c r="AB50" s="45"/>
    </row>
    <row r="51" spans="6:28" x14ac:dyDescent="0.25">
      <c r="F51" s="16" t="s">
        <v>8</v>
      </c>
      <c r="G51" s="16">
        <v>6</v>
      </c>
      <c r="H51" s="16">
        <v>120</v>
      </c>
      <c r="I51" s="8"/>
      <c r="J51" s="12"/>
      <c r="K51" s="120">
        <f t="shared" si="15"/>
        <v>198000</v>
      </c>
      <c r="L51" s="13"/>
      <c r="M51" s="15"/>
      <c r="N51" s="15"/>
      <c r="O51" s="15">
        <f t="shared" si="16"/>
        <v>720</v>
      </c>
      <c r="P51" s="1"/>
      <c r="Q51" s="1"/>
      <c r="S51" s="45"/>
      <c r="T51" s="45"/>
      <c r="U51" s="45"/>
      <c r="V51" s="24"/>
      <c r="W51" s="24"/>
      <c r="X51" s="25"/>
      <c r="Y51" s="109"/>
      <c r="Z51" s="25"/>
      <c r="AA51" s="45"/>
      <c r="AB51" s="45"/>
    </row>
    <row r="52" spans="6:28" ht="15.75" x14ac:dyDescent="0.25">
      <c r="G52" s="3">
        <f>SUM(G44:G51)</f>
        <v>40</v>
      </c>
      <c r="L52" s="52"/>
      <c r="M52" s="28">
        <f>SUM(M44)</f>
        <v>0</v>
      </c>
      <c r="N52" s="30">
        <f>N44</f>
        <v>64084</v>
      </c>
      <c r="O52" s="62">
        <f>SUM(O44:O51)</f>
        <v>3594</v>
      </c>
      <c r="P52" s="1">
        <f>SUM(O45:O51)</f>
        <v>3502</v>
      </c>
      <c r="Q52" s="1"/>
      <c r="S52" s="45"/>
      <c r="T52" s="45"/>
      <c r="U52" s="45"/>
      <c r="V52" s="45"/>
      <c r="W52" s="45"/>
      <c r="X52" s="45"/>
      <c r="Y52" s="110"/>
      <c r="Z52" s="111"/>
      <c r="AA52" s="50"/>
      <c r="AB52" s="38"/>
    </row>
    <row r="53" spans="6:28" ht="15.75" x14ac:dyDescent="0.25">
      <c r="F53" s="95"/>
      <c r="G53" s="99"/>
      <c r="H53" s="45"/>
      <c r="L53" s="20"/>
      <c r="M53" s="36" t="s">
        <v>1</v>
      </c>
      <c r="N53" s="53">
        <f>SUM(M52:N52)</f>
        <v>64084</v>
      </c>
      <c r="O53" s="6" t="s">
        <v>141</v>
      </c>
      <c r="S53" s="47"/>
      <c r="T53" s="45"/>
      <c r="U53" s="45"/>
      <c r="V53" s="45"/>
      <c r="W53" s="45"/>
      <c r="X53" s="45"/>
      <c r="Y53" s="45"/>
      <c r="Z53" s="45"/>
      <c r="AA53" s="47"/>
      <c r="AB53" s="102"/>
    </row>
    <row r="54" spans="6:28" x14ac:dyDescent="0.25">
      <c r="F54" s="95"/>
      <c r="G54" s="99"/>
      <c r="H54" s="45"/>
      <c r="S54" s="95"/>
      <c r="T54" s="99"/>
      <c r="U54" s="45"/>
      <c r="V54" s="45"/>
      <c r="W54" s="45"/>
      <c r="X54" s="45"/>
      <c r="Y54" s="45"/>
      <c r="Z54" s="45"/>
      <c r="AA54" s="47"/>
      <c r="AB54" s="102"/>
    </row>
    <row r="55" spans="6:28" x14ac:dyDescent="0.25">
      <c r="F55" s="100"/>
      <c r="G55" s="96"/>
      <c r="H55" s="45"/>
      <c r="S55" s="100"/>
      <c r="T55" s="96"/>
      <c r="U55" s="45"/>
      <c r="V55" s="45"/>
      <c r="W55" s="45"/>
    </row>
  </sheetData>
  <sheetProtection selectLockedCells="1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"/>
  <sheetViews>
    <sheetView topLeftCell="C34" zoomScaleNormal="100" workbookViewId="0">
      <selection activeCell="J17" sqref="J17"/>
    </sheetView>
  </sheetViews>
  <sheetFormatPr defaultRowHeight="15" x14ac:dyDescent="0.25"/>
  <cols>
    <col min="1" max="1" width="5" style="6" bestFit="1" customWidth="1"/>
    <col min="2" max="2" width="21.5703125" style="6" bestFit="1" customWidth="1"/>
    <col min="3" max="3" width="6.5703125" style="6" bestFit="1" customWidth="1"/>
    <col min="4" max="4" width="7" style="6" bestFit="1" customWidth="1"/>
    <col min="5" max="5" width="5" style="6" customWidth="1"/>
    <col min="6" max="6" width="28.42578125" style="6" customWidth="1"/>
    <col min="7" max="7" width="9.140625" style="6"/>
    <col min="8" max="9" width="7.140625" style="6" customWidth="1"/>
    <col min="10" max="12" width="9.140625" style="6"/>
    <col min="13" max="13" width="11.5703125" style="6" bestFit="1" customWidth="1"/>
    <col min="14" max="14" width="10.28515625" style="6" customWidth="1"/>
    <col min="15" max="15" width="7.140625" style="6" customWidth="1"/>
    <col min="16" max="16" width="7.5703125" style="6" customWidth="1"/>
    <col min="17" max="17" width="7.28515625" style="6" customWidth="1"/>
    <col min="18" max="18" width="5" style="6" customWidth="1"/>
    <col min="19" max="19" width="17.5703125" style="6" customWidth="1"/>
    <col min="20" max="20" width="8.5703125" style="6" bestFit="1" customWidth="1"/>
    <col min="21" max="21" width="4.5703125" style="6" bestFit="1" customWidth="1"/>
    <col min="22" max="22" width="9.28515625" style="6" bestFit="1" customWidth="1"/>
    <col min="23" max="23" width="4.5703125" style="6" bestFit="1" customWidth="1"/>
    <col min="24" max="24" width="8.5703125" style="6" bestFit="1" customWidth="1"/>
    <col min="25" max="25" width="10" style="6" bestFit="1" customWidth="1"/>
    <col min="26" max="26" width="10.140625" style="6" bestFit="1" customWidth="1"/>
    <col min="27" max="27" width="15.7109375" style="6" bestFit="1" customWidth="1"/>
    <col min="28" max="28" width="10.85546875" style="6" customWidth="1"/>
    <col min="29" max="16384" width="9.140625" style="6"/>
  </cols>
  <sheetData>
    <row r="1" spans="1:28" x14ac:dyDescent="0.25">
      <c r="C1" s="6" t="s">
        <v>61</v>
      </c>
      <c r="D1" s="2" t="s">
        <v>60</v>
      </c>
      <c r="F1" s="2" t="s">
        <v>46</v>
      </c>
      <c r="S1" s="2" t="s">
        <v>104</v>
      </c>
    </row>
    <row r="2" spans="1:28" ht="32.25" x14ac:dyDescent="0.25">
      <c r="B2" s="6" t="s">
        <v>73</v>
      </c>
      <c r="C2" s="6">
        <f>SUM(25*0.25)</f>
        <v>6.25</v>
      </c>
      <c r="D2" s="2"/>
      <c r="F2" s="3" t="s">
        <v>0</v>
      </c>
      <c r="G2" s="3" t="s">
        <v>2</v>
      </c>
      <c r="H2" s="3" t="s">
        <v>10</v>
      </c>
      <c r="I2" s="10" t="s">
        <v>34</v>
      </c>
      <c r="J2" s="10" t="s">
        <v>39</v>
      </c>
      <c r="K2" s="82" t="s">
        <v>69</v>
      </c>
      <c r="L2" s="10" t="s">
        <v>27</v>
      </c>
      <c r="M2" s="10" t="s">
        <v>29</v>
      </c>
      <c r="N2" s="10" t="s">
        <v>32</v>
      </c>
      <c r="O2" s="10" t="s">
        <v>163</v>
      </c>
      <c r="P2" s="54" t="s">
        <v>164</v>
      </c>
      <c r="Q2" s="54" t="s">
        <v>165</v>
      </c>
      <c r="S2" s="3" t="s">
        <v>0</v>
      </c>
      <c r="T2" s="3" t="s">
        <v>2</v>
      </c>
      <c r="U2" s="3" t="s">
        <v>10</v>
      </c>
      <c r="V2" s="7" t="s">
        <v>11</v>
      </c>
      <c r="W2" s="7" t="s">
        <v>10</v>
      </c>
      <c r="X2" s="7" t="s">
        <v>109</v>
      </c>
      <c r="Y2" s="7" t="s">
        <v>162</v>
      </c>
      <c r="Z2" s="7" t="s">
        <v>12</v>
      </c>
      <c r="AA2" s="7" t="s">
        <v>121</v>
      </c>
      <c r="AB2" s="10" t="s">
        <v>140</v>
      </c>
    </row>
    <row r="3" spans="1:28" x14ac:dyDescent="0.25">
      <c r="A3" s="6">
        <f>25*0.25</f>
        <v>6.25</v>
      </c>
      <c r="B3" s="6" t="s">
        <v>44</v>
      </c>
      <c r="C3" s="64">
        <f>A3*0.2</f>
        <v>1.25</v>
      </c>
      <c r="D3" s="6">
        <v>1</v>
      </c>
      <c r="F3" s="18" t="s">
        <v>37</v>
      </c>
      <c r="G3" s="18">
        <v>1</v>
      </c>
      <c r="H3" s="18">
        <v>67</v>
      </c>
      <c r="I3" s="21"/>
      <c r="J3" s="87">
        <f>H3*2000</f>
        <v>134000</v>
      </c>
      <c r="K3" s="119">
        <f>H3*2000</f>
        <v>134000</v>
      </c>
      <c r="L3" s="87">
        <f>SUM(J3*G3)</f>
        <v>134000</v>
      </c>
      <c r="M3" s="76">
        <f>SUM(L3*0.5)</f>
        <v>67000</v>
      </c>
      <c r="N3" s="48"/>
      <c r="O3" s="15">
        <f t="shared" ref="O3:O4" si="0">SUM(G3*H3)</f>
        <v>67</v>
      </c>
      <c r="P3" s="15"/>
      <c r="Q3" s="15"/>
      <c r="S3" s="16" t="s">
        <v>3</v>
      </c>
      <c r="T3" s="16">
        <v>1</v>
      </c>
      <c r="U3" s="16">
        <v>67</v>
      </c>
      <c r="V3" s="8" t="s">
        <v>13</v>
      </c>
      <c r="W3" s="8">
        <v>83</v>
      </c>
      <c r="X3" s="12">
        <v>137500</v>
      </c>
      <c r="Y3" s="13">
        <f t="shared" ref="Y3" si="1">SUM(X3/W3)</f>
        <v>1656.6265060240964</v>
      </c>
      <c r="Z3" s="92">
        <f t="shared" ref="Z3" si="2">SUM((T3*U3)*Y3)</f>
        <v>110993.97590361447</v>
      </c>
      <c r="AA3" s="15"/>
      <c r="AB3" s="15"/>
    </row>
    <row r="4" spans="1:28" x14ac:dyDescent="0.25">
      <c r="A4" s="6">
        <f>A3</f>
        <v>6.25</v>
      </c>
      <c r="B4" s="6" t="s">
        <v>45</v>
      </c>
      <c r="C4" s="6">
        <f>A4*0.8</f>
        <v>5</v>
      </c>
      <c r="D4" s="6">
        <v>5</v>
      </c>
      <c r="F4" s="18" t="s">
        <v>26</v>
      </c>
      <c r="G4" s="18">
        <v>4</v>
      </c>
      <c r="H4" s="17">
        <v>46</v>
      </c>
      <c r="I4" s="18" t="s">
        <v>28</v>
      </c>
      <c r="J4" s="48">
        <v>91200</v>
      </c>
      <c r="K4" s="119">
        <f t="shared" ref="K4:K10" si="3">H4*2000</f>
        <v>92000</v>
      </c>
      <c r="L4" s="48">
        <f>SUM(J4*G4)</f>
        <v>364800</v>
      </c>
      <c r="M4" s="41"/>
      <c r="N4" s="49">
        <f>SUM(L4*0.37)</f>
        <v>134976</v>
      </c>
      <c r="O4" s="15">
        <f t="shared" si="0"/>
        <v>184</v>
      </c>
      <c r="P4" s="15"/>
      <c r="Q4" s="61"/>
      <c r="S4" s="16" t="s">
        <v>63</v>
      </c>
      <c r="T4" s="16">
        <v>4</v>
      </c>
      <c r="U4" s="16">
        <v>46</v>
      </c>
      <c r="V4" s="74" t="s">
        <v>28</v>
      </c>
      <c r="W4" s="91">
        <v>46</v>
      </c>
      <c r="X4" s="94">
        <v>91200</v>
      </c>
      <c r="Y4" s="97">
        <f t="shared" ref="Y4" si="4">SUM(X4/W4)</f>
        <v>1982.608695652174</v>
      </c>
      <c r="Z4" s="92">
        <f t="shared" ref="Z4" si="5">SUM((T4*U4)*Y4)</f>
        <v>364800</v>
      </c>
      <c r="AA4" s="15"/>
      <c r="AB4" s="15"/>
    </row>
    <row r="5" spans="1:28" x14ac:dyDescent="0.25">
      <c r="B5" s="6" t="s">
        <v>47</v>
      </c>
      <c r="C5" s="64">
        <v>0.25</v>
      </c>
      <c r="D5" s="64">
        <v>0.25</v>
      </c>
      <c r="F5" s="18" t="s">
        <v>25</v>
      </c>
      <c r="G5" s="18">
        <v>1</v>
      </c>
      <c r="H5" s="18">
        <v>83</v>
      </c>
      <c r="I5" s="21" t="s">
        <v>41</v>
      </c>
      <c r="J5" s="41">
        <v>137500</v>
      </c>
      <c r="K5" s="119">
        <f t="shared" si="3"/>
        <v>166000</v>
      </c>
      <c r="L5" s="48">
        <f>SUM(J5*G5)</f>
        <v>137500</v>
      </c>
      <c r="M5" s="41"/>
      <c r="N5" s="49">
        <f>SUM(L5*0.37)</f>
        <v>50875</v>
      </c>
      <c r="O5" s="15">
        <f>H5</f>
        <v>83</v>
      </c>
      <c r="P5" s="15"/>
      <c r="Q5" s="61">
        <f>SUM(O3:O5)</f>
        <v>334</v>
      </c>
      <c r="S5" s="16" t="s">
        <v>3</v>
      </c>
      <c r="T5" s="16">
        <v>1</v>
      </c>
      <c r="U5" s="16">
        <v>83</v>
      </c>
      <c r="V5" s="8" t="s">
        <v>13</v>
      </c>
      <c r="W5" s="8">
        <v>83</v>
      </c>
      <c r="X5" s="12">
        <v>137500</v>
      </c>
      <c r="Y5" s="13">
        <f t="shared" ref="Y5:Y10" si="6">SUM(X5/W5)</f>
        <v>1656.6265060240964</v>
      </c>
      <c r="Z5" s="92">
        <f t="shared" ref="Z5:Z10" si="7">SUM((T5*U5)*Y5)</f>
        <v>137500</v>
      </c>
      <c r="AA5" s="15"/>
      <c r="AB5" s="15"/>
    </row>
    <row r="6" spans="1:28" x14ac:dyDescent="0.25">
      <c r="F6" s="16" t="s">
        <v>5</v>
      </c>
      <c r="G6" s="16">
        <v>2</v>
      </c>
      <c r="H6" s="16">
        <v>82</v>
      </c>
      <c r="I6" s="8"/>
      <c r="J6" s="12"/>
      <c r="K6" s="119">
        <f t="shared" si="3"/>
        <v>164000</v>
      </c>
      <c r="L6" s="14"/>
      <c r="M6" s="14"/>
      <c r="N6" s="14"/>
      <c r="O6" s="15">
        <f t="shared" ref="O6:O10" si="8">SUM(G6*H6)</f>
        <v>164</v>
      </c>
      <c r="P6" s="15"/>
      <c r="Q6" s="15"/>
      <c r="S6" s="16" t="s">
        <v>5</v>
      </c>
      <c r="T6" s="16">
        <v>2</v>
      </c>
      <c r="U6" s="16">
        <v>82</v>
      </c>
      <c r="V6" s="8" t="s">
        <v>14</v>
      </c>
      <c r="W6" s="8">
        <v>88</v>
      </c>
      <c r="X6" s="12">
        <v>143900</v>
      </c>
      <c r="Y6" s="13">
        <f t="shared" si="6"/>
        <v>1635.2272727272727</v>
      </c>
      <c r="Z6" s="92">
        <f t="shared" si="7"/>
        <v>268177.27272727271</v>
      </c>
      <c r="AA6" s="15"/>
      <c r="AB6" s="15"/>
    </row>
    <row r="7" spans="1:28" x14ac:dyDescent="0.25">
      <c r="F7" s="16" t="s">
        <v>6</v>
      </c>
      <c r="G7" s="16">
        <v>4</v>
      </c>
      <c r="H7" s="16">
        <v>110</v>
      </c>
      <c r="I7" s="8"/>
      <c r="J7" s="12"/>
      <c r="K7" s="119">
        <f t="shared" si="3"/>
        <v>220000</v>
      </c>
      <c r="L7" s="14"/>
      <c r="M7" s="14"/>
      <c r="N7" s="14"/>
      <c r="O7" s="15">
        <f t="shared" si="8"/>
        <v>440</v>
      </c>
      <c r="P7" s="15"/>
      <c r="Q7" s="15"/>
      <c r="S7" s="16" t="s">
        <v>6</v>
      </c>
      <c r="T7" s="16">
        <v>4</v>
      </c>
      <c r="U7" s="16">
        <v>110</v>
      </c>
      <c r="V7" s="8" t="s">
        <v>20</v>
      </c>
      <c r="W7" s="8">
        <v>110</v>
      </c>
      <c r="X7" s="12">
        <v>179200</v>
      </c>
      <c r="Y7" s="13">
        <f t="shared" si="6"/>
        <v>1629.090909090909</v>
      </c>
      <c r="Z7" s="92">
        <f t="shared" si="7"/>
        <v>716800</v>
      </c>
      <c r="AA7" s="15"/>
      <c r="AB7" s="15"/>
    </row>
    <row r="8" spans="1:28" x14ac:dyDescent="0.25">
      <c r="F8" s="16" t="s">
        <v>7</v>
      </c>
      <c r="G8" s="16">
        <v>5</v>
      </c>
      <c r="H8" s="16">
        <v>94</v>
      </c>
      <c r="I8" s="8"/>
      <c r="J8" s="12"/>
      <c r="K8" s="119">
        <f t="shared" si="3"/>
        <v>188000</v>
      </c>
      <c r="L8" s="14"/>
      <c r="M8" s="14"/>
      <c r="N8" s="14"/>
      <c r="O8" s="15">
        <f t="shared" si="8"/>
        <v>470</v>
      </c>
      <c r="P8" s="15"/>
      <c r="Q8" s="15"/>
      <c r="S8" s="16" t="s">
        <v>7</v>
      </c>
      <c r="T8" s="16">
        <v>5</v>
      </c>
      <c r="U8" s="16">
        <v>94</v>
      </c>
      <c r="V8" s="8" t="s">
        <v>15</v>
      </c>
      <c r="W8" s="8">
        <v>94</v>
      </c>
      <c r="X8" s="12">
        <v>153600</v>
      </c>
      <c r="Y8" s="13">
        <f t="shared" si="6"/>
        <v>1634.0425531914893</v>
      </c>
      <c r="Z8" s="92">
        <f t="shared" si="7"/>
        <v>768000</v>
      </c>
      <c r="AA8" s="15"/>
      <c r="AB8" s="15"/>
    </row>
    <row r="9" spans="1:28" x14ac:dyDescent="0.25">
      <c r="F9" s="16" t="s">
        <v>8</v>
      </c>
      <c r="G9" s="16">
        <v>5</v>
      </c>
      <c r="H9" s="16">
        <v>120</v>
      </c>
      <c r="I9" s="8"/>
      <c r="J9" s="12"/>
      <c r="K9" s="119">
        <f t="shared" si="3"/>
        <v>240000</v>
      </c>
      <c r="L9" s="14"/>
      <c r="M9" s="14"/>
      <c r="N9" s="14"/>
      <c r="O9" s="15">
        <f t="shared" si="8"/>
        <v>600</v>
      </c>
      <c r="P9" s="15"/>
      <c r="Q9" s="15"/>
      <c r="S9" s="16" t="s">
        <v>8</v>
      </c>
      <c r="T9" s="16">
        <v>5</v>
      </c>
      <c r="U9" s="16">
        <v>120</v>
      </c>
      <c r="V9" s="8" t="s">
        <v>16</v>
      </c>
      <c r="W9" s="8">
        <v>114</v>
      </c>
      <c r="X9" s="12">
        <v>191300</v>
      </c>
      <c r="Y9" s="13">
        <f t="shared" si="6"/>
        <v>1678.0701754385964</v>
      </c>
      <c r="Z9" s="92">
        <f t="shared" si="7"/>
        <v>1006842.1052631579</v>
      </c>
      <c r="AA9" s="15"/>
      <c r="AB9" s="15"/>
    </row>
    <row r="10" spans="1:28" x14ac:dyDescent="0.25">
      <c r="F10" s="16" t="s">
        <v>9</v>
      </c>
      <c r="G10" s="16">
        <v>3</v>
      </c>
      <c r="H10" s="16">
        <v>135</v>
      </c>
      <c r="I10" s="8"/>
      <c r="J10" s="12"/>
      <c r="K10" s="119">
        <f t="shared" si="3"/>
        <v>270000</v>
      </c>
      <c r="L10" s="14"/>
      <c r="M10" s="14"/>
      <c r="N10" s="14"/>
      <c r="O10" s="15">
        <f t="shared" si="8"/>
        <v>405</v>
      </c>
      <c r="P10" s="15"/>
      <c r="Q10" s="15"/>
      <c r="S10" s="16" t="s">
        <v>9</v>
      </c>
      <c r="T10" s="16">
        <v>3</v>
      </c>
      <c r="U10" s="16">
        <v>135</v>
      </c>
      <c r="V10" s="8" t="s">
        <v>16</v>
      </c>
      <c r="W10" s="8">
        <v>114</v>
      </c>
      <c r="X10" s="12">
        <v>191300</v>
      </c>
      <c r="Y10" s="13">
        <f t="shared" si="6"/>
        <v>1678.0701754385964</v>
      </c>
      <c r="Z10" s="92">
        <f t="shared" si="7"/>
        <v>679618.42105263157</v>
      </c>
      <c r="AA10" s="15"/>
      <c r="AB10" s="15"/>
    </row>
    <row r="11" spans="1:28" x14ac:dyDescent="0.25">
      <c r="G11" s="3">
        <f>SUM(G3:G10)</f>
        <v>25</v>
      </c>
      <c r="L11" s="27"/>
      <c r="M11" s="19">
        <f>SUM(M3)</f>
        <v>67000</v>
      </c>
      <c r="N11" s="35">
        <f>SUM(N4:N5)</f>
        <v>185851</v>
      </c>
      <c r="O11" s="62">
        <f>SUM(O3:O10)</f>
        <v>2413</v>
      </c>
      <c r="P11" s="58">
        <f>SUM(O6:O10)</f>
        <v>2079</v>
      </c>
      <c r="Q11" s="15"/>
      <c r="T11" s="3">
        <f>SUM(T3:T10)</f>
        <v>25</v>
      </c>
      <c r="Y11" s="31" t="s">
        <v>1</v>
      </c>
      <c r="Z11" s="32">
        <f>SUM(Z3:Z10)</f>
        <v>4052731.7749466761</v>
      </c>
      <c r="AA11" s="32">
        <f>SUM(Z11*0.25)</f>
        <v>1013182.943736669</v>
      </c>
      <c r="AB11" s="11">
        <f>SUM(AA11*0.604)</f>
        <v>611962.49801694811</v>
      </c>
    </row>
    <row r="12" spans="1:28" x14ac:dyDescent="0.25">
      <c r="F12" s="95"/>
      <c r="G12" s="99"/>
      <c r="H12" s="45"/>
      <c r="I12" s="45"/>
      <c r="J12" s="45"/>
      <c r="L12" s="20"/>
      <c r="M12" s="88" t="s">
        <v>1</v>
      </c>
      <c r="N12" s="89">
        <f>SUM(M11:N11)</f>
        <v>252851</v>
      </c>
      <c r="O12" s="6" t="s">
        <v>141</v>
      </c>
      <c r="S12" s="95"/>
      <c r="T12" s="96"/>
      <c r="U12" s="45"/>
      <c r="V12" s="45"/>
      <c r="W12" s="45"/>
      <c r="X12" s="45"/>
      <c r="AA12" s="34" t="s">
        <v>17</v>
      </c>
      <c r="AB12" s="11">
        <f>SUM(AB11/(T11*0.25))</f>
        <v>97913.999682711699</v>
      </c>
    </row>
    <row r="13" spans="1:28" x14ac:dyDescent="0.25">
      <c r="F13" s="95"/>
      <c r="G13" s="99"/>
      <c r="H13" s="45"/>
      <c r="I13" s="45"/>
      <c r="J13" s="45"/>
      <c r="M13" s="44" t="s">
        <v>40</v>
      </c>
      <c r="N13" s="11">
        <f>SUM(AB12*0.25)</f>
        <v>24478.499920677925</v>
      </c>
      <c r="O13" s="40" t="s">
        <v>35</v>
      </c>
      <c r="AA13" s="2"/>
      <c r="AB13" s="5"/>
    </row>
    <row r="15" spans="1:28" x14ac:dyDescent="0.25">
      <c r="C15" s="6" t="s">
        <v>61</v>
      </c>
      <c r="D15" s="2" t="s">
        <v>60</v>
      </c>
      <c r="F15" s="2" t="s">
        <v>48</v>
      </c>
      <c r="S15" s="2" t="s">
        <v>105</v>
      </c>
    </row>
    <row r="16" spans="1:28" ht="32.25" x14ac:dyDescent="0.25">
      <c r="B16" s="6" t="s">
        <v>73</v>
      </c>
      <c r="C16" s="6">
        <f>SUM(30*0.25)</f>
        <v>7.5</v>
      </c>
      <c r="F16" s="3" t="s">
        <v>0</v>
      </c>
      <c r="G16" s="3" t="s">
        <v>2</v>
      </c>
      <c r="H16" s="3" t="s">
        <v>10</v>
      </c>
      <c r="I16" s="10" t="s">
        <v>34</v>
      </c>
      <c r="J16" s="10" t="s">
        <v>39</v>
      </c>
      <c r="K16" s="82" t="s">
        <v>69</v>
      </c>
      <c r="L16" s="10" t="s">
        <v>27</v>
      </c>
      <c r="M16" s="10" t="s">
        <v>29</v>
      </c>
      <c r="N16" s="10" t="s">
        <v>32</v>
      </c>
      <c r="O16" s="10" t="s">
        <v>163</v>
      </c>
      <c r="P16" s="54" t="s">
        <v>164</v>
      </c>
      <c r="Q16" s="54" t="s">
        <v>165</v>
      </c>
      <c r="S16" s="3" t="s">
        <v>0</v>
      </c>
      <c r="T16" s="3" t="s">
        <v>2</v>
      </c>
      <c r="U16" s="3" t="s">
        <v>10</v>
      </c>
      <c r="V16" s="7" t="s">
        <v>11</v>
      </c>
      <c r="W16" s="7" t="s">
        <v>10</v>
      </c>
      <c r="X16" s="7" t="s">
        <v>109</v>
      </c>
      <c r="Y16" s="7" t="s">
        <v>162</v>
      </c>
      <c r="Z16" s="7" t="s">
        <v>12</v>
      </c>
      <c r="AA16" s="7" t="s">
        <v>121</v>
      </c>
      <c r="AB16" s="10" t="s">
        <v>140</v>
      </c>
    </row>
    <row r="17" spans="1:28" x14ac:dyDescent="0.25">
      <c r="A17" s="6">
        <f>30*0.25</f>
        <v>7.5</v>
      </c>
      <c r="B17" s="6" t="s">
        <v>44</v>
      </c>
      <c r="C17" s="64">
        <f>A17*0.2</f>
        <v>1.5</v>
      </c>
      <c r="D17" s="6">
        <v>1</v>
      </c>
      <c r="F17" s="18" t="s">
        <v>37</v>
      </c>
      <c r="G17" s="18">
        <v>1</v>
      </c>
      <c r="H17" s="18">
        <v>67</v>
      </c>
      <c r="I17" s="21"/>
      <c r="J17" s="87">
        <f>H17*2000</f>
        <v>134000</v>
      </c>
      <c r="K17" s="119">
        <f>H17*2000</f>
        <v>134000</v>
      </c>
      <c r="L17" s="87">
        <f>SUM(J17*G17)</f>
        <v>134000</v>
      </c>
      <c r="M17" s="76">
        <f>SUM(L17*0.5)</f>
        <v>67000</v>
      </c>
      <c r="N17" s="48"/>
      <c r="O17" s="15">
        <f t="shared" ref="O17:O19" si="9">SUM(G17*H17)</f>
        <v>67</v>
      </c>
      <c r="P17" s="15"/>
      <c r="Q17" s="15"/>
      <c r="S17" s="16" t="s">
        <v>3</v>
      </c>
      <c r="T17" s="16">
        <v>1</v>
      </c>
      <c r="U17" s="16">
        <v>67</v>
      </c>
      <c r="V17" s="8" t="s">
        <v>13</v>
      </c>
      <c r="W17" s="8">
        <v>83</v>
      </c>
      <c r="X17" s="12">
        <v>137500</v>
      </c>
      <c r="Y17" s="13">
        <f t="shared" ref="Y17" si="10">SUM(X17/W17)</f>
        <v>1656.6265060240964</v>
      </c>
      <c r="Z17" s="92">
        <f t="shared" ref="Z17" si="11">SUM((T17*U17)*Y17)</f>
        <v>110993.97590361447</v>
      </c>
      <c r="AA17" s="15"/>
      <c r="AB17" s="15"/>
    </row>
    <row r="18" spans="1:28" x14ac:dyDescent="0.25">
      <c r="A18" s="6">
        <f>A17</f>
        <v>7.5</v>
      </c>
      <c r="B18" s="6" t="s">
        <v>45</v>
      </c>
      <c r="C18" s="6">
        <f>A18*0.8</f>
        <v>6</v>
      </c>
      <c r="D18" s="6">
        <v>6</v>
      </c>
      <c r="F18" s="18" t="s">
        <v>26</v>
      </c>
      <c r="G18" s="18">
        <v>4</v>
      </c>
      <c r="H18" s="17">
        <v>46</v>
      </c>
      <c r="I18" s="18" t="s">
        <v>28</v>
      </c>
      <c r="J18" s="48">
        <v>91200</v>
      </c>
      <c r="K18" s="119">
        <f t="shared" ref="K18:K24" si="12">H18*2000</f>
        <v>92000</v>
      </c>
      <c r="L18" s="48">
        <f>SUM(J18*G18)</f>
        <v>364800</v>
      </c>
      <c r="M18" s="41"/>
      <c r="N18" s="49">
        <f>SUM(L18*0.37)</f>
        <v>134976</v>
      </c>
      <c r="O18" s="15">
        <f t="shared" si="9"/>
        <v>184</v>
      </c>
      <c r="P18" s="15"/>
      <c r="Q18" s="15"/>
      <c r="S18" s="16" t="s">
        <v>63</v>
      </c>
      <c r="T18" s="16">
        <v>4</v>
      </c>
      <c r="U18" s="16">
        <v>46</v>
      </c>
      <c r="V18" s="74" t="s">
        <v>28</v>
      </c>
      <c r="W18" s="91">
        <v>46</v>
      </c>
      <c r="X18" s="94">
        <v>91200</v>
      </c>
      <c r="Y18" s="97">
        <f t="shared" ref="Y18" si="13">SUM(X18/W18)</f>
        <v>1982.608695652174</v>
      </c>
      <c r="Z18" s="92">
        <f t="shared" ref="Z18" si="14">SUM((T18*U18)*Y18)</f>
        <v>364800</v>
      </c>
      <c r="AA18" s="15"/>
      <c r="AB18" s="15"/>
    </row>
    <row r="19" spans="1:28" x14ac:dyDescent="0.25">
      <c r="B19" s="6" t="s">
        <v>47</v>
      </c>
      <c r="C19" s="68">
        <v>0.5</v>
      </c>
      <c r="D19" s="68">
        <v>0.5</v>
      </c>
      <c r="F19" s="18" t="s">
        <v>25</v>
      </c>
      <c r="G19" s="18">
        <v>2</v>
      </c>
      <c r="H19" s="18">
        <v>83</v>
      </c>
      <c r="I19" s="21" t="s">
        <v>41</v>
      </c>
      <c r="J19" s="41">
        <v>137500</v>
      </c>
      <c r="K19" s="119">
        <f t="shared" si="12"/>
        <v>166000</v>
      </c>
      <c r="L19" s="48">
        <f>SUM(J19*G19)</f>
        <v>275000</v>
      </c>
      <c r="M19" s="41"/>
      <c r="N19" s="49">
        <f>SUM(L19*0.37)</f>
        <v>101750</v>
      </c>
      <c r="O19" s="15">
        <f t="shared" si="9"/>
        <v>166</v>
      </c>
      <c r="P19" s="15"/>
      <c r="Q19" s="61">
        <f>SUM(O17:O19)</f>
        <v>417</v>
      </c>
      <c r="S19" s="16" t="s">
        <v>3</v>
      </c>
      <c r="T19" s="16">
        <v>2</v>
      </c>
      <c r="U19" s="16">
        <v>83</v>
      </c>
      <c r="V19" s="8" t="s">
        <v>13</v>
      </c>
      <c r="W19" s="8">
        <v>83</v>
      </c>
      <c r="X19" s="12">
        <v>137500</v>
      </c>
      <c r="Y19" s="13">
        <f t="shared" ref="Y19:Y24" si="15">SUM(X19/W19)</f>
        <v>1656.6265060240964</v>
      </c>
      <c r="Z19" s="92">
        <f t="shared" ref="Z19:Z24" si="16">SUM((T19*U19)*Y19)</f>
        <v>275000</v>
      </c>
      <c r="AA19" s="15"/>
      <c r="AB19" s="15"/>
    </row>
    <row r="20" spans="1:28" x14ac:dyDescent="0.25">
      <c r="F20" s="16" t="s">
        <v>5</v>
      </c>
      <c r="G20" s="16">
        <v>6</v>
      </c>
      <c r="H20" s="16">
        <v>82</v>
      </c>
      <c r="I20" s="8"/>
      <c r="J20" s="12"/>
      <c r="K20" s="119">
        <f t="shared" si="12"/>
        <v>164000</v>
      </c>
      <c r="L20" s="14"/>
      <c r="M20" s="14"/>
      <c r="N20" s="14"/>
      <c r="O20" s="15">
        <f t="shared" ref="O20:O24" si="17">SUM(G20*H20)</f>
        <v>492</v>
      </c>
      <c r="P20" s="15"/>
      <c r="Q20" s="15"/>
      <c r="S20" s="16" t="s">
        <v>5</v>
      </c>
      <c r="T20" s="16">
        <v>6</v>
      </c>
      <c r="U20" s="16">
        <v>82</v>
      </c>
      <c r="V20" s="8" t="s">
        <v>14</v>
      </c>
      <c r="W20" s="8">
        <v>88</v>
      </c>
      <c r="X20" s="12">
        <v>143900</v>
      </c>
      <c r="Y20" s="13">
        <f t="shared" si="15"/>
        <v>1635.2272727272727</v>
      </c>
      <c r="Z20" s="12">
        <f t="shared" si="16"/>
        <v>804531.81818181823</v>
      </c>
      <c r="AA20" s="15"/>
      <c r="AB20" s="15"/>
    </row>
    <row r="21" spans="1:28" x14ac:dyDescent="0.25">
      <c r="F21" s="16" t="s">
        <v>6</v>
      </c>
      <c r="G21" s="16">
        <v>3</v>
      </c>
      <c r="H21" s="16">
        <v>110</v>
      </c>
      <c r="I21" s="8"/>
      <c r="J21" s="12"/>
      <c r="K21" s="119">
        <f t="shared" si="12"/>
        <v>220000</v>
      </c>
      <c r="L21" s="14"/>
      <c r="M21" s="14"/>
      <c r="N21" s="14"/>
      <c r="O21" s="15">
        <f t="shared" si="17"/>
        <v>330</v>
      </c>
      <c r="P21" s="15"/>
      <c r="Q21" s="15"/>
      <c r="S21" s="16" t="s">
        <v>6</v>
      </c>
      <c r="T21" s="16">
        <v>3</v>
      </c>
      <c r="U21" s="16">
        <v>110</v>
      </c>
      <c r="V21" s="8" t="s">
        <v>20</v>
      </c>
      <c r="W21" s="8">
        <v>110</v>
      </c>
      <c r="X21" s="12">
        <v>179200</v>
      </c>
      <c r="Y21" s="13">
        <f t="shared" si="15"/>
        <v>1629.090909090909</v>
      </c>
      <c r="Z21" s="12">
        <f t="shared" si="16"/>
        <v>537600</v>
      </c>
      <c r="AA21" s="15"/>
      <c r="AB21" s="15"/>
    </row>
    <row r="22" spans="1:28" x14ac:dyDescent="0.25">
      <c r="F22" s="16" t="s">
        <v>7</v>
      </c>
      <c r="G22" s="16">
        <v>6</v>
      </c>
      <c r="H22" s="16">
        <v>94</v>
      </c>
      <c r="I22" s="8"/>
      <c r="J22" s="12"/>
      <c r="K22" s="119">
        <f t="shared" si="12"/>
        <v>188000</v>
      </c>
      <c r="L22" s="14"/>
      <c r="M22" s="14"/>
      <c r="N22" s="14"/>
      <c r="O22" s="15">
        <f t="shared" si="17"/>
        <v>564</v>
      </c>
      <c r="P22" s="15"/>
      <c r="Q22" s="15"/>
      <c r="S22" s="16" t="s">
        <v>7</v>
      </c>
      <c r="T22" s="16">
        <v>6</v>
      </c>
      <c r="U22" s="16">
        <v>94</v>
      </c>
      <c r="V22" s="8" t="s">
        <v>15</v>
      </c>
      <c r="W22" s="8">
        <v>94</v>
      </c>
      <c r="X22" s="12">
        <v>153600</v>
      </c>
      <c r="Y22" s="13">
        <f t="shared" si="15"/>
        <v>1634.0425531914893</v>
      </c>
      <c r="Z22" s="12">
        <f t="shared" si="16"/>
        <v>921600</v>
      </c>
      <c r="AA22" s="15"/>
      <c r="AB22" s="15"/>
    </row>
    <row r="23" spans="1:28" x14ac:dyDescent="0.25">
      <c r="F23" s="16" t="s">
        <v>8</v>
      </c>
      <c r="G23" s="16">
        <v>6</v>
      </c>
      <c r="H23" s="16">
        <v>120</v>
      </c>
      <c r="I23" s="8"/>
      <c r="J23" s="12"/>
      <c r="K23" s="119">
        <f t="shared" si="12"/>
        <v>240000</v>
      </c>
      <c r="L23" s="14"/>
      <c r="M23" s="14"/>
      <c r="N23" s="14"/>
      <c r="O23" s="15">
        <f t="shared" si="17"/>
        <v>720</v>
      </c>
      <c r="P23" s="15"/>
      <c r="Q23" s="15"/>
      <c r="S23" s="16" t="s">
        <v>8</v>
      </c>
      <c r="T23" s="16">
        <v>6</v>
      </c>
      <c r="U23" s="16">
        <v>120</v>
      </c>
      <c r="V23" s="8" t="s">
        <v>16</v>
      </c>
      <c r="W23" s="8">
        <v>114</v>
      </c>
      <c r="X23" s="12">
        <v>191300</v>
      </c>
      <c r="Y23" s="13">
        <f t="shared" si="15"/>
        <v>1678.0701754385964</v>
      </c>
      <c r="Z23" s="12">
        <f t="shared" si="16"/>
        <v>1208210.5263157894</v>
      </c>
      <c r="AA23" s="15"/>
      <c r="AB23" s="15"/>
    </row>
    <row r="24" spans="1:28" x14ac:dyDescent="0.25">
      <c r="F24" s="16" t="s">
        <v>9</v>
      </c>
      <c r="G24" s="16">
        <v>2</v>
      </c>
      <c r="H24" s="16">
        <v>135</v>
      </c>
      <c r="I24" s="8"/>
      <c r="J24" s="12"/>
      <c r="K24" s="119">
        <f t="shared" si="12"/>
        <v>270000</v>
      </c>
      <c r="L24" s="14"/>
      <c r="M24" s="14"/>
      <c r="N24" s="14"/>
      <c r="O24" s="15">
        <f t="shared" si="17"/>
        <v>270</v>
      </c>
      <c r="P24" s="15"/>
      <c r="Q24" s="15"/>
      <c r="S24" s="16" t="s">
        <v>9</v>
      </c>
      <c r="T24" s="16">
        <v>2</v>
      </c>
      <c r="U24" s="16">
        <v>135</v>
      </c>
      <c r="V24" s="8" t="s">
        <v>16</v>
      </c>
      <c r="W24" s="8">
        <v>114</v>
      </c>
      <c r="X24" s="12">
        <v>191300</v>
      </c>
      <c r="Y24" s="13">
        <f t="shared" si="15"/>
        <v>1678.0701754385964</v>
      </c>
      <c r="Z24" s="12">
        <f t="shared" si="16"/>
        <v>453078.94736842101</v>
      </c>
      <c r="AA24" s="15"/>
      <c r="AB24" s="15"/>
    </row>
    <row r="25" spans="1:28" x14ac:dyDescent="0.25">
      <c r="G25" s="3">
        <f>SUM(G17:G24)</f>
        <v>30</v>
      </c>
      <c r="L25" s="27"/>
      <c r="M25" s="35">
        <f>SUM(M17)</f>
        <v>67000</v>
      </c>
      <c r="N25" s="35">
        <f>SUM(N18:N19)</f>
        <v>236726</v>
      </c>
      <c r="O25" s="63">
        <f>SUM(O17:O24)</f>
        <v>2793</v>
      </c>
      <c r="P25" s="58">
        <f>SUM(O20:O24)</f>
        <v>2376</v>
      </c>
      <c r="Q25" s="15"/>
      <c r="T25" s="3">
        <f>SUM(T17:T24)</f>
        <v>30</v>
      </c>
      <c r="Y25" s="31" t="s">
        <v>1</v>
      </c>
      <c r="Z25" s="32">
        <f>SUM(Z17:Z24)</f>
        <v>4675815.2677696431</v>
      </c>
      <c r="AA25" s="32">
        <f>SUM(Z25*0.25)</f>
        <v>1168953.8169424108</v>
      </c>
      <c r="AB25" s="11">
        <f>SUM(AA25*0.604)</f>
        <v>706048.10543321609</v>
      </c>
    </row>
    <row r="26" spans="1:28" x14ac:dyDescent="0.25">
      <c r="F26" s="95"/>
      <c r="G26" s="99"/>
      <c r="H26" s="45"/>
      <c r="L26" s="20"/>
      <c r="M26" s="90" t="s">
        <v>1</v>
      </c>
      <c r="N26" s="11">
        <f>SUM(M25:N25)</f>
        <v>303726</v>
      </c>
      <c r="O26" s="6" t="s">
        <v>141</v>
      </c>
      <c r="S26" s="95"/>
      <c r="T26" s="96"/>
      <c r="U26" s="45"/>
      <c r="AA26" s="34" t="s">
        <v>17</v>
      </c>
      <c r="AB26" s="11">
        <f>SUM(AB25/(T25*0.25))</f>
        <v>94139.747391095472</v>
      </c>
    </row>
    <row r="27" spans="1:28" x14ac:dyDescent="0.25">
      <c r="F27" s="95"/>
      <c r="G27" s="99"/>
      <c r="H27" s="45"/>
      <c r="M27" s="44" t="s">
        <v>30</v>
      </c>
      <c r="N27" s="11">
        <f>SUM(AB26*0.5)</f>
        <v>47069.873695547736</v>
      </c>
      <c r="O27" s="40" t="s">
        <v>35</v>
      </c>
      <c r="AA27" s="2"/>
      <c r="AB27" s="5"/>
    </row>
    <row r="29" spans="1:28" x14ac:dyDescent="0.25">
      <c r="C29" s="6" t="s">
        <v>61</v>
      </c>
      <c r="D29" s="2" t="s">
        <v>60</v>
      </c>
      <c r="F29" s="2" t="s">
        <v>49</v>
      </c>
      <c r="S29" s="2" t="s">
        <v>106</v>
      </c>
    </row>
    <row r="30" spans="1:28" ht="32.25" x14ac:dyDescent="0.25">
      <c r="B30" s="6" t="s">
        <v>73</v>
      </c>
      <c r="C30" s="6">
        <f>SUM(35*0.25)</f>
        <v>8.75</v>
      </c>
      <c r="F30" s="3" t="s">
        <v>0</v>
      </c>
      <c r="G30" s="3" t="s">
        <v>2</v>
      </c>
      <c r="H30" s="3" t="s">
        <v>10</v>
      </c>
      <c r="I30" s="10" t="s">
        <v>34</v>
      </c>
      <c r="J30" s="10" t="s">
        <v>39</v>
      </c>
      <c r="K30" s="82" t="s">
        <v>69</v>
      </c>
      <c r="L30" s="10" t="s">
        <v>27</v>
      </c>
      <c r="M30" s="10" t="s">
        <v>29</v>
      </c>
      <c r="N30" s="10" t="s">
        <v>32</v>
      </c>
      <c r="O30" s="10" t="s">
        <v>163</v>
      </c>
      <c r="P30" s="54" t="s">
        <v>164</v>
      </c>
      <c r="Q30" s="54" t="s">
        <v>165</v>
      </c>
      <c r="S30" s="3" t="s">
        <v>0</v>
      </c>
      <c r="T30" s="3" t="s">
        <v>2</v>
      </c>
      <c r="U30" s="3" t="s">
        <v>10</v>
      </c>
      <c r="V30" s="7" t="s">
        <v>11</v>
      </c>
      <c r="W30" s="7" t="s">
        <v>10</v>
      </c>
      <c r="X30" s="7" t="s">
        <v>109</v>
      </c>
      <c r="Y30" s="7" t="s">
        <v>162</v>
      </c>
      <c r="Z30" s="7" t="s">
        <v>12</v>
      </c>
      <c r="AA30" s="7" t="s">
        <v>121</v>
      </c>
      <c r="AB30" s="10" t="s">
        <v>140</v>
      </c>
    </row>
    <row r="31" spans="1:28" x14ac:dyDescent="0.25">
      <c r="A31" s="6">
        <f>35*0.25</f>
        <v>8.75</v>
      </c>
      <c r="B31" s="6" t="s">
        <v>44</v>
      </c>
      <c r="C31" s="64">
        <f>A31*0.2</f>
        <v>1.75</v>
      </c>
      <c r="D31" s="114">
        <v>1</v>
      </c>
      <c r="E31" s="114"/>
      <c r="F31" s="21" t="s">
        <v>38</v>
      </c>
      <c r="G31" s="21">
        <v>1</v>
      </c>
      <c r="H31" s="21">
        <v>78</v>
      </c>
      <c r="I31" s="21"/>
      <c r="J31" s="87">
        <f>H31*2000</f>
        <v>156000</v>
      </c>
      <c r="K31" s="119">
        <f>H31*2000</f>
        <v>156000</v>
      </c>
      <c r="L31" s="87">
        <f>SUM(J31*G31)</f>
        <v>156000</v>
      </c>
      <c r="M31" s="76">
        <f>SUM(L31*0.5)</f>
        <v>78000</v>
      </c>
      <c r="N31" s="48"/>
      <c r="O31" s="15">
        <f t="shared" ref="O31:O38" si="18">SUM(G31*H31)</f>
        <v>78</v>
      </c>
      <c r="P31" s="15"/>
      <c r="Q31" s="15"/>
      <c r="S31" s="16" t="s">
        <v>4</v>
      </c>
      <c r="T31" s="16">
        <v>1</v>
      </c>
      <c r="U31" s="16">
        <v>78</v>
      </c>
      <c r="V31" s="8" t="s">
        <v>13</v>
      </c>
      <c r="W31" s="8">
        <v>83</v>
      </c>
      <c r="X31" s="12">
        <v>137500</v>
      </c>
      <c r="Y31" s="13">
        <f t="shared" ref="Y31" si="19">SUM(X31/W31)</f>
        <v>1656.6265060240964</v>
      </c>
      <c r="Z31" s="12">
        <f t="shared" ref="Z31" si="20">SUM((T31*U31)*Y31)</f>
        <v>129216.86746987952</v>
      </c>
      <c r="AA31" s="15"/>
      <c r="AB31" s="15"/>
    </row>
    <row r="32" spans="1:28" x14ac:dyDescent="0.25">
      <c r="A32" s="6">
        <f>A31</f>
        <v>8.75</v>
      </c>
      <c r="B32" s="6" t="s">
        <v>45</v>
      </c>
      <c r="C32" s="6">
        <f>A32*0.8</f>
        <v>7</v>
      </c>
      <c r="D32" s="114">
        <v>7</v>
      </c>
      <c r="E32" s="114"/>
      <c r="F32" s="18" t="s">
        <v>26</v>
      </c>
      <c r="G32" s="18">
        <v>4</v>
      </c>
      <c r="H32" s="17">
        <v>46</v>
      </c>
      <c r="I32" s="18" t="s">
        <v>28</v>
      </c>
      <c r="J32" s="48">
        <v>91200</v>
      </c>
      <c r="K32" s="119">
        <f t="shared" ref="K32:K38" si="21">H32*2000</f>
        <v>92000</v>
      </c>
      <c r="L32" s="48">
        <f>SUM(J32*G32)</f>
        <v>364800</v>
      </c>
      <c r="M32" s="41"/>
      <c r="N32" s="49">
        <f>SUM(L32*0.37)</f>
        <v>134976</v>
      </c>
      <c r="O32" s="15">
        <f t="shared" si="18"/>
        <v>184</v>
      </c>
      <c r="P32" s="15"/>
      <c r="Q32" s="15"/>
      <c r="S32" s="16" t="s">
        <v>63</v>
      </c>
      <c r="T32" s="16">
        <v>4</v>
      </c>
      <c r="U32" s="16">
        <v>46</v>
      </c>
      <c r="V32" s="74" t="s">
        <v>28</v>
      </c>
      <c r="W32" s="91">
        <v>46</v>
      </c>
      <c r="X32" s="94">
        <v>91200</v>
      </c>
      <c r="Y32" s="97">
        <f t="shared" ref="Y32" si="22">SUM(X32/W32)</f>
        <v>1982.608695652174</v>
      </c>
      <c r="Z32" s="92">
        <f t="shared" ref="Z32" si="23">SUM((T32*U32)*Y32)</f>
        <v>364800</v>
      </c>
      <c r="AA32" s="15"/>
      <c r="AB32" s="15"/>
    </row>
    <row r="33" spans="1:28" x14ac:dyDescent="0.25">
      <c r="B33" s="6" t="s">
        <v>47</v>
      </c>
      <c r="C33" s="64">
        <v>0.75</v>
      </c>
      <c r="D33" s="64">
        <v>0.75</v>
      </c>
      <c r="F33" s="18" t="s">
        <v>25</v>
      </c>
      <c r="G33" s="18">
        <v>3</v>
      </c>
      <c r="H33" s="18">
        <v>83</v>
      </c>
      <c r="I33" s="21" t="s">
        <v>41</v>
      </c>
      <c r="J33" s="41">
        <v>137500</v>
      </c>
      <c r="K33" s="119">
        <f t="shared" si="21"/>
        <v>166000</v>
      </c>
      <c r="L33" s="48">
        <f>SUM(J33*G33)</f>
        <v>412500</v>
      </c>
      <c r="M33" s="41"/>
      <c r="N33" s="49">
        <f>SUM(L33*0.37)</f>
        <v>152625</v>
      </c>
      <c r="O33" s="15">
        <f t="shared" si="18"/>
        <v>249</v>
      </c>
      <c r="P33" s="15"/>
      <c r="Q33" s="61">
        <f>SUM(O30:O33)</f>
        <v>511</v>
      </c>
      <c r="S33" s="16" t="s">
        <v>3</v>
      </c>
      <c r="T33" s="16">
        <v>3</v>
      </c>
      <c r="U33" s="16">
        <v>83</v>
      </c>
      <c r="V33" s="8" t="s">
        <v>13</v>
      </c>
      <c r="W33" s="8">
        <v>83</v>
      </c>
      <c r="X33" s="12">
        <v>137500</v>
      </c>
      <c r="Y33" s="13">
        <f t="shared" ref="Y33:Y38" si="24">SUM(X33/W33)</f>
        <v>1656.6265060240964</v>
      </c>
      <c r="Z33" s="12">
        <f t="shared" ref="Z33:Z38" si="25">SUM((T33*U33)*Y33)</f>
        <v>412500</v>
      </c>
      <c r="AA33" s="15"/>
      <c r="AB33" s="15"/>
    </row>
    <row r="34" spans="1:28" x14ac:dyDescent="0.25">
      <c r="F34" s="16" t="s">
        <v>4</v>
      </c>
      <c r="G34" s="16">
        <v>4</v>
      </c>
      <c r="H34" s="16">
        <v>78</v>
      </c>
      <c r="I34" s="8"/>
      <c r="J34" s="12"/>
      <c r="K34" s="119">
        <f t="shared" si="21"/>
        <v>156000</v>
      </c>
      <c r="L34" s="14"/>
      <c r="M34" s="15"/>
      <c r="N34" s="15"/>
      <c r="O34" s="15">
        <f t="shared" si="18"/>
        <v>312</v>
      </c>
      <c r="P34" s="15"/>
      <c r="Q34" s="15"/>
      <c r="S34" s="16" t="s">
        <v>4</v>
      </c>
      <c r="T34" s="16">
        <v>4</v>
      </c>
      <c r="U34" s="16">
        <v>78</v>
      </c>
      <c r="V34" s="8" t="s">
        <v>13</v>
      </c>
      <c r="W34" s="8">
        <v>83</v>
      </c>
      <c r="X34" s="12">
        <v>137500</v>
      </c>
      <c r="Y34" s="13">
        <f t="shared" si="24"/>
        <v>1656.6265060240964</v>
      </c>
      <c r="Z34" s="12">
        <f t="shared" si="25"/>
        <v>516867.46987951809</v>
      </c>
      <c r="AA34" s="15"/>
      <c r="AB34" s="15"/>
    </row>
    <row r="35" spans="1:28" x14ac:dyDescent="0.25">
      <c r="F35" s="16" t="s">
        <v>5</v>
      </c>
      <c r="G35" s="16">
        <v>8</v>
      </c>
      <c r="H35" s="16">
        <v>82</v>
      </c>
      <c r="I35" s="8"/>
      <c r="J35" s="12"/>
      <c r="K35" s="119">
        <f t="shared" si="21"/>
        <v>164000</v>
      </c>
      <c r="L35" s="14"/>
      <c r="M35" s="15"/>
      <c r="N35" s="15"/>
      <c r="O35" s="15">
        <f t="shared" si="18"/>
        <v>656</v>
      </c>
      <c r="P35" s="15"/>
      <c r="Q35" s="15"/>
      <c r="S35" s="16" t="s">
        <v>5</v>
      </c>
      <c r="T35" s="16">
        <v>8</v>
      </c>
      <c r="U35" s="16">
        <v>82</v>
      </c>
      <c r="V35" s="8" t="s">
        <v>14</v>
      </c>
      <c r="W35" s="8">
        <v>88</v>
      </c>
      <c r="X35" s="12">
        <v>143900</v>
      </c>
      <c r="Y35" s="13">
        <f t="shared" si="24"/>
        <v>1635.2272727272727</v>
      </c>
      <c r="Z35" s="12">
        <f t="shared" si="25"/>
        <v>1072709.0909090908</v>
      </c>
      <c r="AA35" s="15"/>
      <c r="AB35" s="15"/>
    </row>
    <row r="36" spans="1:28" x14ac:dyDescent="0.25">
      <c r="F36" s="16" t="s">
        <v>6</v>
      </c>
      <c r="G36" s="16">
        <v>4</v>
      </c>
      <c r="H36" s="16">
        <v>110</v>
      </c>
      <c r="I36" s="8"/>
      <c r="J36" s="12"/>
      <c r="K36" s="119">
        <f t="shared" si="21"/>
        <v>220000</v>
      </c>
      <c r="L36" s="14"/>
      <c r="M36" s="15"/>
      <c r="N36" s="15"/>
      <c r="O36" s="15">
        <f t="shared" si="18"/>
        <v>440</v>
      </c>
      <c r="P36" s="15"/>
      <c r="Q36" s="15"/>
      <c r="S36" s="16" t="s">
        <v>6</v>
      </c>
      <c r="T36" s="16">
        <v>4</v>
      </c>
      <c r="U36" s="16">
        <v>110</v>
      </c>
      <c r="V36" s="8" t="s">
        <v>20</v>
      </c>
      <c r="W36" s="8">
        <v>110</v>
      </c>
      <c r="X36" s="12">
        <v>179200</v>
      </c>
      <c r="Y36" s="13">
        <f t="shared" si="24"/>
        <v>1629.090909090909</v>
      </c>
      <c r="Z36" s="12">
        <f t="shared" si="25"/>
        <v>716800</v>
      </c>
      <c r="AA36" s="15"/>
      <c r="AB36" s="15"/>
    </row>
    <row r="37" spans="1:28" x14ac:dyDescent="0.25">
      <c r="F37" s="16" t="s">
        <v>7</v>
      </c>
      <c r="G37" s="16">
        <v>6</v>
      </c>
      <c r="H37" s="16">
        <v>94</v>
      </c>
      <c r="I37" s="8"/>
      <c r="J37" s="12"/>
      <c r="K37" s="119">
        <f t="shared" si="21"/>
        <v>188000</v>
      </c>
      <c r="L37" s="14"/>
      <c r="M37" s="15"/>
      <c r="N37" s="15"/>
      <c r="O37" s="15">
        <f t="shared" si="18"/>
        <v>564</v>
      </c>
      <c r="P37" s="15"/>
      <c r="Q37" s="15"/>
      <c r="S37" s="16" t="s">
        <v>7</v>
      </c>
      <c r="T37" s="16">
        <v>6</v>
      </c>
      <c r="U37" s="16">
        <v>94</v>
      </c>
      <c r="V37" s="8" t="s">
        <v>15</v>
      </c>
      <c r="W37" s="8">
        <v>94</v>
      </c>
      <c r="X37" s="12">
        <v>153600</v>
      </c>
      <c r="Y37" s="13">
        <f t="shared" si="24"/>
        <v>1634.0425531914893</v>
      </c>
      <c r="Z37" s="12">
        <f t="shared" si="25"/>
        <v>921600</v>
      </c>
      <c r="AA37" s="15"/>
      <c r="AB37" s="15"/>
    </row>
    <row r="38" spans="1:28" x14ac:dyDescent="0.25">
      <c r="F38" s="16" t="s">
        <v>8</v>
      </c>
      <c r="G38" s="16">
        <v>5</v>
      </c>
      <c r="H38" s="16">
        <v>120</v>
      </c>
      <c r="I38" s="8"/>
      <c r="J38" s="12"/>
      <c r="K38" s="119">
        <f t="shared" si="21"/>
        <v>240000</v>
      </c>
      <c r="L38" s="14"/>
      <c r="M38" s="15"/>
      <c r="N38" s="15"/>
      <c r="O38" s="15">
        <f t="shared" si="18"/>
        <v>600</v>
      </c>
      <c r="P38" s="15"/>
      <c r="Q38" s="15"/>
      <c r="S38" s="16" t="s">
        <v>8</v>
      </c>
      <c r="T38" s="16">
        <v>5</v>
      </c>
      <c r="U38" s="16">
        <v>120</v>
      </c>
      <c r="V38" s="8" t="s">
        <v>16</v>
      </c>
      <c r="W38" s="8">
        <v>114</v>
      </c>
      <c r="X38" s="12">
        <v>191300</v>
      </c>
      <c r="Y38" s="13">
        <f t="shared" si="24"/>
        <v>1678.0701754385964</v>
      </c>
      <c r="Z38" s="12">
        <f t="shared" si="25"/>
        <v>1006842.1052631579</v>
      </c>
      <c r="AA38" s="15"/>
      <c r="AB38" s="15"/>
    </row>
    <row r="39" spans="1:28" x14ac:dyDescent="0.25">
      <c r="G39" s="3">
        <f>SUM(G30:G38)</f>
        <v>35</v>
      </c>
      <c r="L39" s="50"/>
      <c r="M39" s="35">
        <f>SUM(M30:M31)</f>
        <v>78000</v>
      </c>
      <c r="N39" s="35">
        <f>SUM(N32:N33)</f>
        <v>287601</v>
      </c>
      <c r="O39" s="62">
        <f>SUM(O30:O38)</f>
        <v>3083</v>
      </c>
      <c r="P39" s="58">
        <f>SUM(O34:O38)</f>
        <v>2572</v>
      </c>
      <c r="Q39" s="15"/>
      <c r="T39" s="3">
        <f>SUM(T31:T38)</f>
        <v>35</v>
      </c>
      <c r="Y39" s="31" t="s">
        <v>1</v>
      </c>
      <c r="Z39" s="32">
        <f>SUM(Z31:Z38)</f>
        <v>5141335.5335216466</v>
      </c>
      <c r="AA39" s="32">
        <f>SUM(Z39*0.25)</f>
        <v>1285333.8833804117</v>
      </c>
      <c r="AB39" s="11">
        <f>SUM(AA39*0.604)</f>
        <v>776341.66556176858</v>
      </c>
    </row>
    <row r="40" spans="1:28" x14ac:dyDescent="0.25">
      <c r="F40" s="95"/>
      <c r="G40" s="99"/>
      <c r="H40" s="45"/>
      <c r="M40" s="90" t="s">
        <v>1</v>
      </c>
      <c r="N40" s="11">
        <f>SUM(M39:N39)</f>
        <v>365601</v>
      </c>
      <c r="O40" s="6" t="s">
        <v>141</v>
      </c>
      <c r="S40" s="95"/>
      <c r="T40" s="96"/>
      <c r="U40" s="45"/>
      <c r="V40" s="45"/>
      <c r="AA40" s="34" t="s">
        <v>17</v>
      </c>
      <c r="AB40" s="11">
        <f>SUM(AB39/(T39*0.25))</f>
        <v>88724.761778487838</v>
      </c>
    </row>
    <row r="41" spans="1:28" x14ac:dyDescent="0.25">
      <c r="F41" s="95"/>
      <c r="G41" s="99"/>
      <c r="H41" s="45"/>
      <c r="M41" s="44" t="s">
        <v>42</v>
      </c>
      <c r="N41" s="11">
        <f>SUM(AB40*0.75)</f>
        <v>66543.571333865882</v>
      </c>
      <c r="O41" s="40" t="s">
        <v>35</v>
      </c>
      <c r="AA41" s="2"/>
      <c r="AB41" s="5"/>
    </row>
    <row r="43" spans="1:28" x14ac:dyDescent="0.25">
      <c r="C43" s="6" t="s">
        <v>61</v>
      </c>
      <c r="D43" s="2" t="s">
        <v>60</v>
      </c>
      <c r="F43" s="2" t="s">
        <v>50</v>
      </c>
      <c r="S43" s="47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ht="32.25" x14ac:dyDescent="0.25">
      <c r="B44" s="6" t="s">
        <v>73</v>
      </c>
      <c r="C44" s="6">
        <f>SUM(40*0.25)</f>
        <v>10</v>
      </c>
      <c r="F44" s="3" t="s">
        <v>0</v>
      </c>
      <c r="G44" s="3" t="s">
        <v>2</v>
      </c>
      <c r="H44" s="3" t="s">
        <v>10</v>
      </c>
      <c r="I44" s="10" t="s">
        <v>34</v>
      </c>
      <c r="J44" s="10" t="s">
        <v>39</v>
      </c>
      <c r="K44" s="82" t="s">
        <v>69</v>
      </c>
      <c r="L44" s="10" t="s">
        <v>27</v>
      </c>
      <c r="M44" s="10" t="s">
        <v>29</v>
      </c>
      <c r="N44" s="10" t="s">
        <v>32</v>
      </c>
      <c r="O44" s="10" t="s">
        <v>163</v>
      </c>
      <c r="P44" s="54" t="s">
        <v>164</v>
      </c>
      <c r="Q44" s="54" t="s">
        <v>165</v>
      </c>
      <c r="S44" s="37"/>
      <c r="T44" s="37"/>
      <c r="U44" s="37"/>
      <c r="V44" s="103"/>
      <c r="W44" s="103"/>
      <c r="X44" s="103"/>
      <c r="Y44" s="103"/>
      <c r="Z44" s="103"/>
      <c r="AA44" s="103"/>
      <c r="AB44" s="104"/>
    </row>
    <row r="45" spans="1:28" x14ac:dyDescent="0.25">
      <c r="A45" s="6">
        <f>40*0.25</f>
        <v>10</v>
      </c>
      <c r="B45" s="6" t="s">
        <v>44</v>
      </c>
      <c r="C45" s="65">
        <f>A45*0.2</f>
        <v>2</v>
      </c>
      <c r="D45" s="101">
        <v>2</v>
      </c>
      <c r="F45" s="18" t="s">
        <v>37</v>
      </c>
      <c r="G45" s="18">
        <v>2</v>
      </c>
      <c r="H45" s="18">
        <v>67</v>
      </c>
      <c r="I45" s="21"/>
      <c r="J45" s="87">
        <f>H45*2000</f>
        <v>134000</v>
      </c>
      <c r="K45" s="119">
        <f>H45*2000</f>
        <v>134000</v>
      </c>
      <c r="L45" s="87">
        <f>SUM(J45*G45)</f>
        <v>268000</v>
      </c>
      <c r="M45" s="76">
        <f>SUM(L45*0.5)</f>
        <v>134000</v>
      </c>
      <c r="N45" s="49"/>
      <c r="O45" s="15">
        <f t="shared" ref="O45" si="26">SUM(G45*H45)</f>
        <v>134</v>
      </c>
      <c r="P45" s="15"/>
      <c r="Q45" s="15"/>
      <c r="S45" s="24"/>
      <c r="T45" s="24"/>
      <c r="U45" s="24"/>
      <c r="V45" s="112"/>
      <c r="W45" s="112"/>
      <c r="X45" s="25"/>
      <c r="Y45" s="109"/>
      <c r="Z45" s="26"/>
      <c r="AA45" s="112"/>
      <c r="AB45" s="112"/>
    </row>
    <row r="46" spans="1:28" x14ac:dyDescent="0.25">
      <c r="A46" s="6">
        <f>A45</f>
        <v>10</v>
      </c>
      <c r="B46" s="6" t="s">
        <v>45</v>
      </c>
      <c r="C46" s="65">
        <f>A46*0.8</f>
        <v>8</v>
      </c>
      <c r="D46" s="101">
        <v>8</v>
      </c>
      <c r="F46" s="18" t="s">
        <v>26</v>
      </c>
      <c r="G46" s="18">
        <v>4</v>
      </c>
      <c r="H46" s="17">
        <v>46</v>
      </c>
      <c r="I46" s="18" t="s">
        <v>28</v>
      </c>
      <c r="J46" s="48">
        <v>91200</v>
      </c>
      <c r="K46" s="119">
        <f t="shared" ref="K46:K54" si="27">H46*2000</f>
        <v>92000</v>
      </c>
      <c r="L46" s="48">
        <f>SUM(J46*G46)</f>
        <v>364800</v>
      </c>
      <c r="M46" s="42"/>
      <c r="N46" s="49">
        <f>SUM(L46*0.37)</f>
        <v>134976</v>
      </c>
      <c r="O46" s="15">
        <f>SUM(G46*H46)</f>
        <v>184</v>
      </c>
      <c r="P46" s="15"/>
      <c r="Q46" s="15"/>
      <c r="S46" s="100"/>
      <c r="T46" s="96"/>
      <c r="U46" s="45"/>
      <c r="V46" s="45"/>
      <c r="W46" s="45"/>
      <c r="X46" s="25"/>
      <c r="Y46" s="109"/>
      <c r="Z46" s="26"/>
      <c r="AA46" s="45"/>
      <c r="AB46" s="45"/>
    </row>
    <row r="47" spans="1:28" x14ac:dyDescent="0.25">
      <c r="B47" s="6" t="s">
        <v>47</v>
      </c>
      <c r="C47" s="65">
        <v>0</v>
      </c>
      <c r="D47" s="101">
        <v>0</v>
      </c>
      <c r="F47" s="18" t="s">
        <v>25</v>
      </c>
      <c r="G47" s="18">
        <v>2</v>
      </c>
      <c r="H47" s="18">
        <v>83</v>
      </c>
      <c r="I47" s="21" t="s">
        <v>41</v>
      </c>
      <c r="J47" s="41">
        <v>137500</v>
      </c>
      <c r="K47" s="119">
        <f t="shared" si="27"/>
        <v>166000</v>
      </c>
      <c r="L47" s="48">
        <f>SUM(J47*G47)</f>
        <v>275000</v>
      </c>
      <c r="M47" s="42"/>
      <c r="N47" s="49">
        <f>SUM(L47*0.37)</f>
        <v>101750</v>
      </c>
      <c r="O47" s="15">
        <f>SUM(G47*H47)</f>
        <v>166</v>
      </c>
      <c r="P47" s="15"/>
      <c r="Q47" s="15"/>
      <c r="S47" s="45"/>
      <c r="T47" s="45"/>
      <c r="U47" s="45"/>
      <c r="V47" s="45"/>
      <c r="W47" s="45"/>
      <c r="X47" s="25"/>
      <c r="Y47" s="109"/>
      <c r="Z47" s="26"/>
      <c r="AA47" s="45"/>
      <c r="AB47" s="45"/>
    </row>
    <row r="48" spans="1:28" x14ac:dyDescent="0.25">
      <c r="F48" s="18" t="s">
        <v>31</v>
      </c>
      <c r="G48" s="18">
        <v>2</v>
      </c>
      <c r="H48" s="18">
        <v>94</v>
      </c>
      <c r="I48" s="21" t="s">
        <v>15</v>
      </c>
      <c r="J48" s="41">
        <v>153600</v>
      </c>
      <c r="K48" s="119">
        <f t="shared" si="27"/>
        <v>188000</v>
      </c>
      <c r="L48" s="48">
        <f>SUM(J48*G48)</f>
        <v>307200</v>
      </c>
      <c r="M48" s="51"/>
      <c r="N48" s="49">
        <f>SUM(L48*0.37)</f>
        <v>113664</v>
      </c>
      <c r="O48" s="15">
        <f>SUM(G48*H48)</f>
        <v>188</v>
      </c>
      <c r="P48" s="15"/>
      <c r="Q48" s="61">
        <f>SUM(O45:O48)</f>
        <v>672</v>
      </c>
      <c r="X48" s="25"/>
      <c r="Y48" s="109"/>
      <c r="Z48" s="26"/>
      <c r="AA48" s="45"/>
      <c r="AB48" s="45"/>
    </row>
    <row r="49" spans="6:28" x14ac:dyDescent="0.25">
      <c r="F49" s="16" t="s">
        <v>4</v>
      </c>
      <c r="G49" s="16">
        <v>4</v>
      </c>
      <c r="H49" s="16">
        <v>78</v>
      </c>
      <c r="I49" s="8"/>
      <c r="J49" s="12"/>
      <c r="K49" s="119">
        <f t="shared" si="27"/>
        <v>156000</v>
      </c>
      <c r="L49" s="14"/>
      <c r="M49" s="15"/>
      <c r="N49" s="15"/>
      <c r="O49" s="15">
        <f t="shared" ref="O49:O54" si="28">SUM(G49*H49)</f>
        <v>312</v>
      </c>
      <c r="P49" s="15"/>
      <c r="Q49" s="15"/>
      <c r="X49" s="25"/>
      <c r="Y49" s="109"/>
      <c r="Z49" s="26"/>
      <c r="AA49" s="45"/>
      <c r="AB49" s="45"/>
    </row>
    <row r="50" spans="6:28" x14ac:dyDescent="0.25">
      <c r="F50" s="16" t="s">
        <v>18</v>
      </c>
      <c r="G50" s="16">
        <v>2</v>
      </c>
      <c r="H50" s="16">
        <v>110</v>
      </c>
      <c r="I50" s="8"/>
      <c r="J50" s="12"/>
      <c r="K50" s="119">
        <f t="shared" si="27"/>
        <v>220000</v>
      </c>
      <c r="L50" s="14"/>
      <c r="M50" s="15"/>
      <c r="N50" s="15"/>
      <c r="O50" s="15">
        <f t="shared" si="28"/>
        <v>220</v>
      </c>
      <c r="P50" s="15"/>
      <c r="Q50" s="15"/>
      <c r="X50" s="25"/>
      <c r="Y50" s="109"/>
      <c r="Z50" s="26"/>
      <c r="AA50" s="45"/>
      <c r="AB50" s="45"/>
    </row>
    <row r="51" spans="6:28" x14ac:dyDescent="0.25">
      <c r="F51" s="16" t="s">
        <v>5</v>
      </c>
      <c r="G51" s="16">
        <v>6</v>
      </c>
      <c r="H51" s="16">
        <v>82</v>
      </c>
      <c r="I51" s="8"/>
      <c r="J51" s="12"/>
      <c r="K51" s="119">
        <f t="shared" si="27"/>
        <v>164000</v>
      </c>
      <c r="L51" s="14"/>
      <c r="M51" s="15"/>
      <c r="N51" s="15"/>
      <c r="O51" s="15">
        <f t="shared" si="28"/>
        <v>492</v>
      </c>
      <c r="P51" s="15"/>
      <c r="Q51" s="15"/>
      <c r="X51" s="25"/>
      <c r="Y51" s="109"/>
      <c r="Z51" s="26"/>
      <c r="AA51" s="45"/>
      <c r="AB51" s="45"/>
    </row>
    <row r="52" spans="6:28" x14ac:dyDescent="0.25">
      <c r="F52" s="16" t="s">
        <v>6</v>
      </c>
      <c r="G52" s="16">
        <v>4</v>
      </c>
      <c r="H52" s="16">
        <v>110</v>
      </c>
      <c r="I52" s="8"/>
      <c r="J52" s="12"/>
      <c r="K52" s="119">
        <f t="shared" si="27"/>
        <v>220000</v>
      </c>
      <c r="L52" s="14"/>
      <c r="M52" s="15"/>
      <c r="N52" s="15"/>
      <c r="O52" s="15">
        <f t="shared" si="28"/>
        <v>440</v>
      </c>
      <c r="P52" s="15"/>
      <c r="Q52" s="15"/>
      <c r="X52" s="25"/>
      <c r="Y52" s="109"/>
      <c r="Z52" s="26"/>
      <c r="AA52" s="45"/>
      <c r="AB52" s="45"/>
    </row>
    <row r="53" spans="6:28" x14ac:dyDescent="0.25">
      <c r="F53" s="16" t="s">
        <v>7</v>
      </c>
      <c r="G53" s="16">
        <v>8</v>
      </c>
      <c r="H53" s="16">
        <v>94</v>
      </c>
      <c r="I53" s="8"/>
      <c r="J53" s="12"/>
      <c r="K53" s="119">
        <f t="shared" si="27"/>
        <v>188000</v>
      </c>
      <c r="L53" s="14"/>
      <c r="M53" s="15"/>
      <c r="N53" s="15"/>
      <c r="O53" s="15">
        <f t="shared" si="28"/>
        <v>752</v>
      </c>
      <c r="P53" s="15"/>
      <c r="Q53" s="15"/>
      <c r="X53" s="45"/>
      <c r="Y53" s="110"/>
      <c r="Z53" s="50"/>
      <c r="AA53" s="50"/>
      <c r="AB53" s="102"/>
    </row>
    <row r="54" spans="6:28" x14ac:dyDescent="0.25">
      <c r="F54" s="16" t="s">
        <v>8</v>
      </c>
      <c r="G54" s="16">
        <v>6</v>
      </c>
      <c r="H54" s="16">
        <v>120</v>
      </c>
      <c r="I54" s="8"/>
      <c r="J54" s="12"/>
      <c r="K54" s="119">
        <f t="shared" si="27"/>
        <v>240000</v>
      </c>
      <c r="L54" s="14"/>
      <c r="M54" s="15"/>
      <c r="N54" s="15"/>
      <c r="O54" s="15">
        <f t="shared" si="28"/>
        <v>720</v>
      </c>
      <c r="P54" s="15"/>
      <c r="Q54" s="15"/>
      <c r="X54" s="45"/>
      <c r="Y54" s="45"/>
      <c r="Z54" s="45"/>
      <c r="AA54" s="47"/>
      <c r="AB54" s="113"/>
    </row>
    <row r="55" spans="6:28" x14ac:dyDescent="0.25">
      <c r="G55" s="3">
        <f>SUM(G45:G54)</f>
        <v>40</v>
      </c>
      <c r="L55" s="27"/>
      <c r="M55" s="35">
        <f>SUM(M45:M45)</f>
        <v>134000</v>
      </c>
      <c r="N55" s="35">
        <f>SUM(N46:N48)</f>
        <v>350390</v>
      </c>
      <c r="O55" s="62">
        <f>SUM(O45:O54)</f>
        <v>3608</v>
      </c>
      <c r="P55" s="58">
        <f>SUM(O49:O54)</f>
        <v>2936</v>
      </c>
      <c r="Q55" s="15"/>
      <c r="X55" s="45"/>
      <c r="Y55" s="45"/>
      <c r="Z55" s="45"/>
      <c r="AA55" s="45"/>
      <c r="AB55" s="45"/>
    </row>
    <row r="56" spans="6:28" x14ac:dyDescent="0.25">
      <c r="F56" s="95"/>
      <c r="G56" s="99"/>
      <c r="H56" s="45"/>
      <c r="M56" s="90" t="s">
        <v>1</v>
      </c>
      <c r="N56" s="11">
        <f>SUM(M55:N55)</f>
        <v>484390</v>
      </c>
      <c r="O56" s="6" t="s">
        <v>141</v>
      </c>
      <c r="X56" s="45"/>
      <c r="Y56" s="45"/>
      <c r="Z56" s="45"/>
      <c r="AA56" s="45"/>
      <c r="AB56" s="45"/>
    </row>
    <row r="57" spans="6:28" x14ac:dyDescent="0.25">
      <c r="F57" s="95"/>
      <c r="G57" s="99"/>
      <c r="H57" s="45"/>
      <c r="X57" s="45"/>
      <c r="Y57" s="45"/>
      <c r="Z57" s="45"/>
      <c r="AA57" s="45"/>
      <c r="AB57" s="45"/>
    </row>
    <row r="58" spans="6:28" x14ac:dyDescent="0.25">
      <c r="F58" s="100"/>
      <c r="G58" s="96"/>
      <c r="H58" s="45"/>
    </row>
    <row r="63" spans="6:28" ht="15" customHeight="1" x14ac:dyDescent="0.25"/>
    <row r="72" spans="25:28" x14ac:dyDescent="0.25">
      <c r="Y72" s="20"/>
      <c r="Z72" s="20"/>
      <c r="AA72" s="20"/>
      <c r="AB72" s="27"/>
    </row>
  </sheetData>
  <pageMargins left="0.7" right="0.7" top="0.75" bottom="0.75" header="0.3" footer="0.3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topLeftCell="D30" workbookViewId="0">
      <selection activeCell="M64" sqref="M64"/>
    </sheetView>
  </sheetViews>
  <sheetFormatPr defaultRowHeight="15" x14ac:dyDescent="0.25"/>
  <cols>
    <col min="1" max="1" width="5" style="6" bestFit="1" customWidth="1"/>
    <col min="2" max="2" width="21.5703125" style="6" bestFit="1" customWidth="1"/>
    <col min="3" max="3" width="6.5703125" style="6" bestFit="1" customWidth="1"/>
    <col min="4" max="4" width="7" style="6" bestFit="1" customWidth="1"/>
    <col min="5" max="5" width="5" style="6" customWidth="1"/>
    <col min="6" max="6" width="27.7109375" style="6" customWidth="1"/>
    <col min="7" max="7" width="9.140625" style="6"/>
    <col min="8" max="9" width="7.140625" style="6" customWidth="1"/>
    <col min="10" max="12" width="9.140625" style="6"/>
    <col min="13" max="13" width="11.5703125" style="6" bestFit="1" customWidth="1"/>
    <col min="14" max="14" width="10.28515625" style="6" customWidth="1"/>
    <col min="15" max="15" width="7.140625" style="6" customWidth="1"/>
    <col min="16" max="16" width="7.5703125" style="6" customWidth="1"/>
    <col min="17" max="17" width="7.28515625" style="6" customWidth="1"/>
    <col min="18" max="18" width="5.28515625" style="6" customWidth="1"/>
    <col min="19" max="19" width="16.7109375" style="6" customWidth="1"/>
    <col min="20" max="20" width="5" style="6" bestFit="1" customWidth="1"/>
    <col min="21" max="21" width="4.5703125" style="6" bestFit="1" customWidth="1"/>
    <col min="22" max="22" width="9.28515625" style="6" bestFit="1" customWidth="1"/>
    <col min="23" max="23" width="4.5703125" style="6" bestFit="1" customWidth="1"/>
    <col min="24" max="24" width="8.5703125" style="6" bestFit="1" customWidth="1"/>
    <col min="25" max="25" width="10" style="6" bestFit="1" customWidth="1"/>
    <col min="26" max="26" width="10.140625" style="6" bestFit="1" customWidth="1"/>
    <col min="27" max="27" width="15.7109375" style="6" bestFit="1" customWidth="1"/>
    <col min="28" max="28" width="10.85546875" style="6" customWidth="1"/>
    <col min="29" max="16384" width="9.140625" style="6"/>
  </cols>
  <sheetData>
    <row r="1" spans="1:28" x14ac:dyDescent="0.25">
      <c r="C1" s="6" t="s">
        <v>61</v>
      </c>
      <c r="D1" s="2" t="s">
        <v>60</v>
      </c>
      <c r="F1" s="2" t="s">
        <v>46</v>
      </c>
      <c r="S1" s="2" t="s">
        <v>104</v>
      </c>
    </row>
    <row r="2" spans="1:28" ht="32.25" x14ac:dyDescent="0.25">
      <c r="B2" s="6" t="s">
        <v>73</v>
      </c>
      <c r="C2" s="6">
        <f>SUM(25*0.25)</f>
        <v>6.25</v>
      </c>
      <c r="F2" s="3" t="s">
        <v>0</v>
      </c>
      <c r="G2" s="3" t="s">
        <v>2</v>
      </c>
      <c r="H2" s="3" t="s">
        <v>10</v>
      </c>
      <c r="I2" s="10" t="s">
        <v>34</v>
      </c>
      <c r="J2" s="10" t="s">
        <v>36</v>
      </c>
      <c r="K2" s="82" t="s">
        <v>69</v>
      </c>
      <c r="L2" s="10" t="s">
        <v>27</v>
      </c>
      <c r="M2" s="10" t="s">
        <v>29</v>
      </c>
      <c r="N2" s="10" t="s">
        <v>32</v>
      </c>
      <c r="O2" s="10" t="s">
        <v>163</v>
      </c>
      <c r="P2" s="54" t="s">
        <v>164</v>
      </c>
      <c r="Q2" s="54" t="s">
        <v>165</v>
      </c>
      <c r="S2" s="3" t="s">
        <v>0</v>
      </c>
      <c r="T2" s="3" t="s">
        <v>2</v>
      </c>
      <c r="U2" s="3" t="s">
        <v>10</v>
      </c>
      <c r="V2" s="7" t="s">
        <v>11</v>
      </c>
      <c r="W2" s="7" t="s">
        <v>10</v>
      </c>
      <c r="X2" s="7" t="s">
        <v>22</v>
      </c>
      <c r="Y2" s="7" t="s">
        <v>162</v>
      </c>
      <c r="Z2" s="7" t="s">
        <v>12</v>
      </c>
      <c r="AA2" s="7" t="s">
        <v>121</v>
      </c>
      <c r="AB2" s="10" t="s">
        <v>140</v>
      </c>
    </row>
    <row r="3" spans="1:28" x14ac:dyDescent="0.25">
      <c r="A3" s="6">
        <f>25*0.25</f>
        <v>6.25</v>
      </c>
      <c r="B3" s="6" t="s">
        <v>44</v>
      </c>
      <c r="C3" s="64">
        <f>A3*0.2</f>
        <v>1.25</v>
      </c>
      <c r="D3" s="115">
        <v>1</v>
      </c>
      <c r="F3" s="18" t="s">
        <v>37</v>
      </c>
      <c r="G3" s="18">
        <v>1</v>
      </c>
      <c r="H3" s="18">
        <v>67</v>
      </c>
      <c r="I3" s="21"/>
      <c r="J3" s="87">
        <f>H3*2300</f>
        <v>154100</v>
      </c>
      <c r="K3" s="119">
        <f>H3*2300</f>
        <v>154100</v>
      </c>
      <c r="L3" s="87">
        <f>SUM(J3*G3)</f>
        <v>154100</v>
      </c>
      <c r="M3" s="76">
        <f>SUM(L3*0.5)</f>
        <v>77050</v>
      </c>
      <c r="N3" s="48"/>
      <c r="O3" s="15">
        <f t="shared" ref="O3:O4" si="0">SUM(G3*H3)</f>
        <v>67</v>
      </c>
      <c r="P3" s="15"/>
      <c r="Q3" s="15"/>
      <c r="S3" s="16" t="s">
        <v>3</v>
      </c>
      <c r="T3" s="16">
        <v>1</v>
      </c>
      <c r="U3" s="16">
        <v>67</v>
      </c>
      <c r="V3" s="8" t="s">
        <v>13</v>
      </c>
      <c r="W3" s="8">
        <v>83</v>
      </c>
      <c r="X3" s="12">
        <v>147800</v>
      </c>
      <c r="Y3" s="13">
        <f t="shared" ref="Y3" si="1">SUM(X3/W3)</f>
        <v>1780.7228915662652</v>
      </c>
      <c r="Z3" s="12">
        <f t="shared" ref="Z3" si="2">SUM((T3*U3)*Y3)</f>
        <v>119308.43373493977</v>
      </c>
      <c r="AA3" s="15"/>
      <c r="AB3" s="15"/>
    </row>
    <row r="4" spans="1:28" x14ac:dyDescent="0.25">
      <c r="A4" s="6">
        <f>A3</f>
        <v>6.25</v>
      </c>
      <c r="B4" s="6" t="s">
        <v>45</v>
      </c>
      <c r="C4" s="6">
        <f>A4*0.8</f>
        <v>5</v>
      </c>
      <c r="D4" s="2">
        <v>5</v>
      </c>
      <c r="F4" s="18" t="s">
        <v>26</v>
      </c>
      <c r="G4" s="18">
        <v>4</v>
      </c>
      <c r="H4" s="17">
        <v>46</v>
      </c>
      <c r="I4" s="18" t="s">
        <v>28</v>
      </c>
      <c r="J4" s="48">
        <v>95800</v>
      </c>
      <c r="K4" s="119">
        <f t="shared" ref="K4:K10" si="3">H4*2300</f>
        <v>105800</v>
      </c>
      <c r="L4" s="48">
        <f>SUM(J4*G4)</f>
        <v>383200</v>
      </c>
      <c r="M4" s="41"/>
      <c r="N4" s="49">
        <f>SUM(L4*0.37)</f>
        <v>141784</v>
      </c>
      <c r="O4" s="15">
        <f t="shared" si="0"/>
        <v>184</v>
      </c>
      <c r="P4" s="15"/>
      <c r="Q4" s="61"/>
      <c r="S4" s="16" t="s">
        <v>63</v>
      </c>
      <c r="T4" s="16">
        <v>4</v>
      </c>
      <c r="U4" s="16">
        <v>46</v>
      </c>
      <c r="V4" s="74" t="s">
        <v>28</v>
      </c>
      <c r="W4" s="91">
        <v>46</v>
      </c>
      <c r="X4" s="94">
        <v>95800</v>
      </c>
      <c r="Y4" s="97">
        <f t="shared" ref="Y4" si="4">SUM(X4/W4)</f>
        <v>2082.608695652174</v>
      </c>
      <c r="Z4" s="92">
        <f t="shared" ref="Z4:Z10" si="5">SUM((T4*U4)*Y4)</f>
        <v>383200</v>
      </c>
      <c r="AA4" s="15"/>
      <c r="AB4" s="15"/>
    </row>
    <row r="5" spans="1:28" x14ac:dyDescent="0.25">
      <c r="B5" s="6" t="s">
        <v>47</v>
      </c>
      <c r="C5" s="64">
        <v>0.25</v>
      </c>
      <c r="D5" s="71">
        <v>0.25</v>
      </c>
      <c r="F5" s="18" t="s">
        <v>25</v>
      </c>
      <c r="G5" s="18">
        <v>1</v>
      </c>
      <c r="H5" s="18">
        <v>83</v>
      </c>
      <c r="I5" s="21" t="s">
        <v>41</v>
      </c>
      <c r="J5" s="41">
        <v>147800</v>
      </c>
      <c r="K5" s="119">
        <f t="shared" si="3"/>
        <v>190900</v>
      </c>
      <c r="L5" s="48">
        <f>SUM(J5*G5)</f>
        <v>147800</v>
      </c>
      <c r="M5" s="41"/>
      <c r="N5" s="49">
        <f>SUM(L5*0.37)</f>
        <v>54686</v>
      </c>
      <c r="O5" s="15">
        <f>H5</f>
        <v>83</v>
      </c>
      <c r="P5" s="15"/>
      <c r="Q5" s="61">
        <f>SUM(O3:O5)</f>
        <v>334</v>
      </c>
      <c r="S5" s="16" t="s">
        <v>3</v>
      </c>
      <c r="T5" s="16">
        <v>1</v>
      </c>
      <c r="U5" s="16">
        <v>83</v>
      </c>
      <c r="V5" s="8" t="s">
        <v>13</v>
      </c>
      <c r="W5" s="8">
        <v>83</v>
      </c>
      <c r="X5" s="12">
        <v>147800</v>
      </c>
      <c r="Y5" s="13">
        <f t="shared" ref="Y5:Y10" si="6">SUM(X5/W5)</f>
        <v>1780.7228915662652</v>
      </c>
      <c r="Z5" s="12">
        <f t="shared" si="5"/>
        <v>147800</v>
      </c>
      <c r="AA5" s="15"/>
      <c r="AB5" s="15"/>
    </row>
    <row r="6" spans="1:28" x14ac:dyDescent="0.25">
      <c r="F6" s="16" t="s">
        <v>5</v>
      </c>
      <c r="G6" s="16">
        <v>2</v>
      </c>
      <c r="H6" s="16">
        <v>82</v>
      </c>
      <c r="I6" s="8"/>
      <c r="J6" s="12"/>
      <c r="K6" s="119">
        <f t="shared" si="3"/>
        <v>188600</v>
      </c>
      <c r="L6" s="14"/>
      <c r="M6" s="14"/>
      <c r="N6" s="14"/>
      <c r="O6" s="15">
        <f t="shared" ref="O6:O10" si="7">SUM(G6*H6)</f>
        <v>164</v>
      </c>
      <c r="P6" s="15"/>
      <c r="Q6" s="15"/>
      <c r="S6" s="16" t="s">
        <v>5</v>
      </c>
      <c r="T6" s="16">
        <v>2</v>
      </c>
      <c r="U6" s="16">
        <v>82</v>
      </c>
      <c r="V6" s="8" t="s">
        <v>14</v>
      </c>
      <c r="W6" s="8">
        <v>88</v>
      </c>
      <c r="X6" s="12">
        <v>154200</v>
      </c>
      <c r="Y6" s="13">
        <f t="shared" si="6"/>
        <v>1752.2727272727273</v>
      </c>
      <c r="Z6" s="12">
        <f t="shared" si="5"/>
        <v>287372.72727272729</v>
      </c>
      <c r="AA6" s="15"/>
      <c r="AB6" s="15"/>
    </row>
    <row r="7" spans="1:28" x14ac:dyDescent="0.25">
      <c r="F7" s="16" t="s">
        <v>6</v>
      </c>
      <c r="G7" s="16">
        <v>4</v>
      </c>
      <c r="H7" s="16">
        <v>110</v>
      </c>
      <c r="I7" s="8"/>
      <c r="J7" s="12"/>
      <c r="K7" s="119">
        <f t="shared" si="3"/>
        <v>253000</v>
      </c>
      <c r="L7" s="14"/>
      <c r="M7" s="14"/>
      <c r="N7" s="14"/>
      <c r="O7" s="15">
        <f t="shared" si="7"/>
        <v>440</v>
      </c>
      <c r="P7" s="15"/>
      <c r="Q7" s="15"/>
      <c r="S7" s="16" t="s">
        <v>6</v>
      </c>
      <c r="T7" s="16">
        <v>4</v>
      </c>
      <c r="U7" s="16">
        <v>110</v>
      </c>
      <c r="V7" s="8" t="s">
        <v>20</v>
      </c>
      <c r="W7" s="8">
        <v>110</v>
      </c>
      <c r="X7" s="12">
        <v>192000</v>
      </c>
      <c r="Y7" s="13">
        <f t="shared" si="6"/>
        <v>1745.4545454545455</v>
      </c>
      <c r="Z7" s="12">
        <f t="shared" si="5"/>
        <v>768000</v>
      </c>
      <c r="AA7" s="15"/>
      <c r="AB7" s="15"/>
    </row>
    <row r="8" spans="1:28" x14ac:dyDescent="0.25">
      <c r="F8" s="16" t="s">
        <v>7</v>
      </c>
      <c r="G8" s="16">
        <v>5</v>
      </c>
      <c r="H8" s="16">
        <v>94</v>
      </c>
      <c r="I8" s="8"/>
      <c r="J8" s="12"/>
      <c r="K8" s="119">
        <f t="shared" si="3"/>
        <v>216200</v>
      </c>
      <c r="L8" s="14"/>
      <c r="M8" s="14"/>
      <c r="N8" s="14"/>
      <c r="O8" s="15">
        <f t="shared" si="7"/>
        <v>470</v>
      </c>
      <c r="P8" s="15"/>
      <c r="Q8" s="15"/>
      <c r="S8" s="16" t="s">
        <v>7</v>
      </c>
      <c r="T8" s="16">
        <v>5</v>
      </c>
      <c r="U8" s="16">
        <v>94</v>
      </c>
      <c r="V8" s="8" t="s">
        <v>15</v>
      </c>
      <c r="W8" s="8">
        <v>94</v>
      </c>
      <c r="X8" s="12">
        <v>153600</v>
      </c>
      <c r="Y8" s="13">
        <f t="shared" si="6"/>
        <v>1634.0425531914893</v>
      </c>
      <c r="Z8" s="12">
        <f t="shared" si="5"/>
        <v>768000</v>
      </c>
      <c r="AA8" s="15"/>
      <c r="AB8" s="15"/>
    </row>
    <row r="9" spans="1:28" x14ac:dyDescent="0.25">
      <c r="F9" s="16" t="s">
        <v>8</v>
      </c>
      <c r="G9" s="16">
        <v>5</v>
      </c>
      <c r="H9" s="16">
        <v>120</v>
      </c>
      <c r="I9" s="8"/>
      <c r="J9" s="12"/>
      <c r="K9" s="119">
        <f t="shared" si="3"/>
        <v>276000</v>
      </c>
      <c r="L9" s="14"/>
      <c r="M9" s="14"/>
      <c r="N9" s="14"/>
      <c r="O9" s="15">
        <f t="shared" si="7"/>
        <v>600</v>
      </c>
      <c r="P9" s="15"/>
      <c r="Q9" s="15"/>
      <c r="S9" s="16" t="s">
        <v>8</v>
      </c>
      <c r="T9" s="16">
        <v>5</v>
      </c>
      <c r="U9" s="16">
        <v>120</v>
      </c>
      <c r="V9" s="8" t="s">
        <v>16</v>
      </c>
      <c r="W9" s="8">
        <v>114</v>
      </c>
      <c r="X9" s="12">
        <v>206400</v>
      </c>
      <c r="Y9" s="13">
        <f t="shared" si="6"/>
        <v>1810.5263157894738</v>
      </c>
      <c r="Z9" s="12">
        <f t="shared" si="5"/>
        <v>1086315.7894736843</v>
      </c>
      <c r="AA9" s="15"/>
      <c r="AB9" s="15"/>
    </row>
    <row r="10" spans="1:28" x14ac:dyDescent="0.25">
      <c r="F10" s="16" t="s">
        <v>9</v>
      </c>
      <c r="G10" s="16">
        <v>3</v>
      </c>
      <c r="H10" s="16">
        <v>135</v>
      </c>
      <c r="I10" s="8"/>
      <c r="J10" s="12"/>
      <c r="K10" s="119">
        <f t="shared" si="3"/>
        <v>310500</v>
      </c>
      <c r="L10" s="14"/>
      <c r="M10" s="14"/>
      <c r="N10" s="14"/>
      <c r="O10" s="15">
        <f t="shared" si="7"/>
        <v>405</v>
      </c>
      <c r="P10" s="15"/>
      <c r="Q10" s="15"/>
      <c r="S10" s="16" t="s">
        <v>9</v>
      </c>
      <c r="T10" s="16">
        <v>3</v>
      </c>
      <c r="U10" s="16">
        <v>135</v>
      </c>
      <c r="V10" s="8" t="s">
        <v>16</v>
      </c>
      <c r="W10" s="8">
        <v>114</v>
      </c>
      <c r="X10" s="12">
        <v>206400</v>
      </c>
      <c r="Y10" s="13">
        <f t="shared" si="6"/>
        <v>1810.5263157894738</v>
      </c>
      <c r="Z10" s="12">
        <f t="shared" si="5"/>
        <v>733263.15789473685</v>
      </c>
      <c r="AA10" s="15"/>
      <c r="AB10" s="15"/>
    </row>
    <row r="11" spans="1:28" x14ac:dyDescent="0.25">
      <c r="G11" s="3">
        <f>SUM(G3:G10)</f>
        <v>25</v>
      </c>
      <c r="L11" s="27"/>
      <c r="M11" s="19">
        <f>SUM(M3)</f>
        <v>77050</v>
      </c>
      <c r="N11" s="35">
        <f>SUM(N4:N5)</f>
        <v>196470</v>
      </c>
      <c r="O11" s="62">
        <f>SUM(O3:O10)</f>
        <v>2413</v>
      </c>
      <c r="P11" s="58">
        <f>SUM(O6:O10)</f>
        <v>2079</v>
      </c>
      <c r="Q11" s="15"/>
      <c r="T11" s="3">
        <f>SUM(T3:T10)</f>
        <v>25</v>
      </c>
      <c r="Y11" s="31" t="s">
        <v>1</v>
      </c>
      <c r="Z11" s="98">
        <f>SUM(Z3:Z10)</f>
        <v>4293260.1083760886</v>
      </c>
      <c r="AA11" s="32">
        <f>SUM(Z11*0.25)</f>
        <v>1073315.0270940221</v>
      </c>
      <c r="AB11" s="11">
        <f>SUM(AA11*0.604)</f>
        <v>648282.27636478934</v>
      </c>
    </row>
    <row r="12" spans="1:28" x14ac:dyDescent="0.25">
      <c r="F12" s="95"/>
      <c r="G12" s="99"/>
      <c r="H12" s="45"/>
      <c r="I12" s="45"/>
      <c r="J12" s="45"/>
      <c r="L12" s="20"/>
      <c r="M12" s="88" t="s">
        <v>1</v>
      </c>
      <c r="N12" s="89">
        <f>SUM(M11:N11)</f>
        <v>273520</v>
      </c>
      <c r="O12" s="6" t="s">
        <v>141</v>
      </c>
      <c r="S12" s="95"/>
      <c r="T12" s="96"/>
      <c r="U12" s="45"/>
      <c r="V12" s="45"/>
      <c r="W12" s="45"/>
      <c r="AA12" s="34" t="s">
        <v>17</v>
      </c>
      <c r="AB12" s="11">
        <f>SUM(AB11/(T11*0.25))</f>
        <v>103725.16421836629</v>
      </c>
    </row>
    <row r="13" spans="1:28" x14ac:dyDescent="0.25">
      <c r="F13" s="95"/>
      <c r="G13" s="99"/>
      <c r="H13" s="45"/>
      <c r="I13" s="45"/>
      <c r="J13" s="45"/>
      <c r="M13" s="44" t="s">
        <v>40</v>
      </c>
      <c r="N13" s="11">
        <f>SUM(AB12*0.25)</f>
        <v>25931.291054591573</v>
      </c>
      <c r="O13" s="40" t="s">
        <v>35</v>
      </c>
      <c r="AA13" s="2"/>
      <c r="AB13" s="5"/>
    </row>
    <row r="15" spans="1:28" x14ac:dyDescent="0.25">
      <c r="C15" s="6" t="s">
        <v>61</v>
      </c>
      <c r="D15" s="2" t="s">
        <v>60</v>
      </c>
      <c r="F15" s="2" t="s">
        <v>48</v>
      </c>
      <c r="S15" s="2" t="s">
        <v>105</v>
      </c>
    </row>
    <row r="16" spans="1:28" ht="32.25" x14ac:dyDescent="0.25">
      <c r="B16" s="6" t="s">
        <v>73</v>
      </c>
      <c r="C16" s="6">
        <f>SUM(30*0.25)</f>
        <v>7.5</v>
      </c>
      <c r="F16" s="3" t="s">
        <v>0</v>
      </c>
      <c r="G16" s="3" t="s">
        <v>2</v>
      </c>
      <c r="H16" s="3" t="s">
        <v>10</v>
      </c>
      <c r="I16" s="10" t="s">
        <v>34</v>
      </c>
      <c r="J16" s="10" t="s">
        <v>36</v>
      </c>
      <c r="K16" s="82" t="s">
        <v>69</v>
      </c>
      <c r="L16" s="10" t="s">
        <v>27</v>
      </c>
      <c r="M16" s="10" t="s">
        <v>29</v>
      </c>
      <c r="N16" s="10" t="s">
        <v>32</v>
      </c>
      <c r="O16" s="10" t="s">
        <v>163</v>
      </c>
      <c r="P16" s="54" t="s">
        <v>164</v>
      </c>
      <c r="Q16" s="54" t="s">
        <v>165</v>
      </c>
      <c r="S16" s="3" t="s">
        <v>0</v>
      </c>
      <c r="T16" s="3" t="s">
        <v>2</v>
      </c>
      <c r="U16" s="3" t="s">
        <v>10</v>
      </c>
      <c r="V16" s="7" t="s">
        <v>11</v>
      </c>
      <c r="W16" s="7" t="s">
        <v>10</v>
      </c>
      <c r="X16" s="7" t="s">
        <v>22</v>
      </c>
      <c r="Y16" s="7" t="s">
        <v>162</v>
      </c>
      <c r="Z16" s="7" t="s">
        <v>12</v>
      </c>
      <c r="AA16" s="7" t="s">
        <v>121</v>
      </c>
      <c r="AB16" s="10" t="s">
        <v>140</v>
      </c>
    </row>
    <row r="17" spans="1:28" x14ac:dyDescent="0.25">
      <c r="A17" s="6">
        <f>30*0.25</f>
        <v>7.5</v>
      </c>
      <c r="B17" s="6" t="s">
        <v>44</v>
      </c>
      <c r="C17" s="64">
        <f>A17*0.2</f>
        <v>1.5</v>
      </c>
      <c r="D17" s="115">
        <v>1</v>
      </c>
      <c r="F17" s="18" t="s">
        <v>37</v>
      </c>
      <c r="G17" s="18">
        <v>1</v>
      </c>
      <c r="H17" s="18">
        <v>67</v>
      </c>
      <c r="I17" s="21"/>
      <c r="J17" s="87">
        <f>H17*2300</f>
        <v>154100</v>
      </c>
      <c r="K17" s="119">
        <f>H17*2300</f>
        <v>154100</v>
      </c>
      <c r="L17" s="87">
        <f>SUM(J17*G17)</f>
        <v>154100</v>
      </c>
      <c r="M17" s="76">
        <f>SUM(L17*0.5)</f>
        <v>77050</v>
      </c>
      <c r="N17" s="48"/>
      <c r="O17" s="15">
        <f t="shared" ref="O17:O19" si="8">SUM(G17*H17)</f>
        <v>67</v>
      </c>
      <c r="P17" s="15"/>
      <c r="Q17" s="15"/>
      <c r="S17" s="16" t="s">
        <v>3</v>
      </c>
      <c r="T17" s="16">
        <v>1</v>
      </c>
      <c r="U17" s="16">
        <v>67</v>
      </c>
      <c r="V17" s="8" t="s">
        <v>13</v>
      </c>
      <c r="W17" s="8">
        <v>83</v>
      </c>
      <c r="X17" s="12">
        <v>147800</v>
      </c>
      <c r="Y17" s="13">
        <f t="shared" ref="Y17" si="9">SUM(X17/W17)</f>
        <v>1780.7228915662652</v>
      </c>
      <c r="Z17" s="12">
        <f t="shared" ref="Z17" si="10">SUM((T17*U17)*Y17)</f>
        <v>119308.43373493977</v>
      </c>
      <c r="AA17" s="15"/>
      <c r="AB17" s="15"/>
    </row>
    <row r="18" spans="1:28" x14ac:dyDescent="0.25">
      <c r="A18" s="6">
        <f>A17</f>
        <v>7.5</v>
      </c>
      <c r="B18" s="6" t="s">
        <v>45</v>
      </c>
      <c r="C18" s="6">
        <f>A18*0.8</f>
        <v>6</v>
      </c>
      <c r="D18" s="2">
        <v>6</v>
      </c>
      <c r="F18" s="18" t="s">
        <v>26</v>
      </c>
      <c r="G18" s="18">
        <v>4</v>
      </c>
      <c r="H18" s="17">
        <v>46</v>
      </c>
      <c r="I18" s="18" t="s">
        <v>28</v>
      </c>
      <c r="J18" s="48">
        <v>95800</v>
      </c>
      <c r="K18" s="119">
        <f t="shared" ref="K18:K24" si="11">H18*2300</f>
        <v>105800</v>
      </c>
      <c r="L18" s="48">
        <f>SUM(J18*G18)</f>
        <v>383200</v>
      </c>
      <c r="M18" s="41"/>
      <c r="N18" s="49">
        <f>SUM(L18*0.37)</f>
        <v>141784</v>
      </c>
      <c r="O18" s="15">
        <f t="shared" si="8"/>
        <v>184</v>
      </c>
      <c r="P18" s="15"/>
      <c r="Q18" s="15"/>
      <c r="S18" s="16" t="s">
        <v>63</v>
      </c>
      <c r="T18" s="16">
        <v>4</v>
      </c>
      <c r="U18" s="16">
        <v>46</v>
      </c>
      <c r="V18" s="74" t="s">
        <v>28</v>
      </c>
      <c r="W18" s="91">
        <v>46</v>
      </c>
      <c r="X18" s="94">
        <v>95800</v>
      </c>
      <c r="Y18" s="97">
        <f t="shared" ref="Y18" si="12">SUM(X18/W18)</f>
        <v>2082.608695652174</v>
      </c>
      <c r="Z18" s="92">
        <f t="shared" ref="Z18" si="13">SUM((T18*U18)*Y18)</f>
        <v>383200</v>
      </c>
      <c r="AA18" s="15"/>
      <c r="AB18" s="15"/>
    </row>
    <row r="19" spans="1:28" x14ac:dyDescent="0.25">
      <c r="B19" s="6" t="s">
        <v>47</v>
      </c>
      <c r="C19" s="68">
        <v>0.5</v>
      </c>
      <c r="D19" s="116">
        <v>0.5</v>
      </c>
      <c r="F19" s="18" t="s">
        <v>25</v>
      </c>
      <c r="G19" s="18">
        <v>2</v>
      </c>
      <c r="H19" s="18">
        <v>83</v>
      </c>
      <c r="I19" s="21" t="s">
        <v>41</v>
      </c>
      <c r="J19" s="41">
        <v>147800</v>
      </c>
      <c r="K19" s="119">
        <f t="shared" si="11"/>
        <v>190900</v>
      </c>
      <c r="L19" s="48">
        <f>SUM(J19*G19)</f>
        <v>295600</v>
      </c>
      <c r="M19" s="41"/>
      <c r="N19" s="49">
        <f>SUM(L19*0.37)</f>
        <v>109372</v>
      </c>
      <c r="O19" s="15">
        <f t="shared" si="8"/>
        <v>166</v>
      </c>
      <c r="P19" s="15"/>
      <c r="Q19" s="61">
        <f>SUM(O17:O19)</f>
        <v>417</v>
      </c>
      <c r="S19" s="16" t="s">
        <v>3</v>
      </c>
      <c r="T19" s="16">
        <v>2</v>
      </c>
      <c r="U19" s="16">
        <v>83</v>
      </c>
      <c r="V19" s="8" t="s">
        <v>13</v>
      </c>
      <c r="W19" s="8">
        <v>83</v>
      </c>
      <c r="X19" s="12">
        <v>147800</v>
      </c>
      <c r="Y19" s="13">
        <f t="shared" ref="Y19:Y24" si="14">SUM(X19/W19)</f>
        <v>1780.7228915662652</v>
      </c>
      <c r="Z19" s="12">
        <f t="shared" ref="Z19:Z24" si="15">SUM((T19*U19)*Y19)</f>
        <v>295600</v>
      </c>
      <c r="AA19" s="15"/>
      <c r="AB19" s="15"/>
    </row>
    <row r="20" spans="1:28" x14ac:dyDescent="0.25">
      <c r="F20" s="16" t="s">
        <v>5</v>
      </c>
      <c r="G20" s="16">
        <v>6</v>
      </c>
      <c r="H20" s="16">
        <v>82</v>
      </c>
      <c r="I20" s="8"/>
      <c r="J20" s="12"/>
      <c r="K20" s="119">
        <f t="shared" si="11"/>
        <v>188600</v>
      </c>
      <c r="L20" s="14"/>
      <c r="M20" s="14"/>
      <c r="N20" s="14"/>
      <c r="O20" s="15">
        <f t="shared" ref="O20:O24" si="16">SUM(G20*H20)</f>
        <v>492</v>
      </c>
      <c r="P20" s="15"/>
      <c r="Q20" s="15"/>
      <c r="S20" s="16" t="s">
        <v>5</v>
      </c>
      <c r="T20" s="16">
        <v>6</v>
      </c>
      <c r="U20" s="16">
        <v>82</v>
      </c>
      <c r="V20" s="8" t="s">
        <v>14</v>
      </c>
      <c r="W20" s="8">
        <v>88</v>
      </c>
      <c r="X20" s="12">
        <v>154200</v>
      </c>
      <c r="Y20" s="13">
        <f t="shared" si="14"/>
        <v>1752.2727272727273</v>
      </c>
      <c r="Z20" s="12">
        <f t="shared" si="15"/>
        <v>862118.18181818177</v>
      </c>
      <c r="AA20" s="15"/>
      <c r="AB20" s="15"/>
    </row>
    <row r="21" spans="1:28" x14ac:dyDescent="0.25">
      <c r="F21" s="16" t="s">
        <v>6</v>
      </c>
      <c r="G21" s="16">
        <v>3</v>
      </c>
      <c r="H21" s="16">
        <v>110</v>
      </c>
      <c r="I21" s="8"/>
      <c r="J21" s="12"/>
      <c r="K21" s="119">
        <f t="shared" si="11"/>
        <v>253000</v>
      </c>
      <c r="L21" s="14"/>
      <c r="M21" s="14"/>
      <c r="N21" s="14"/>
      <c r="O21" s="15">
        <f t="shared" si="16"/>
        <v>330</v>
      </c>
      <c r="P21" s="15"/>
      <c r="Q21" s="15"/>
      <c r="S21" s="16" t="s">
        <v>6</v>
      </c>
      <c r="T21" s="16">
        <v>3</v>
      </c>
      <c r="U21" s="16">
        <v>110</v>
      </c>
      <c r="V21" s="8" t="s">
        <v>20</v>
      </c>
      <c r="W21" s="8">
        <v>110</v>
      </c>
      <c r="X21" s="12">
        <v>192000</v>
      </c>
      <c r="Y21" s="13">
        <f t="shared" si="14"/>
        <v>1745.4545454545455</v>
      </c>
      <c r="Z21" s="12">
        <f t="shared" si="15"/>
        <v>576000</v>
      </c>
      <c r="AA21" s="15"/>
      <c r="AB21" s="15"/>
    </row>
    <row r="22" spans="1:28" x14ac:dyDescent="0.25">
      <c r="F22" s="16" t="s">
        <v>7</v>
      </c>
      <c r="G22" s="16">
        <v>6</v>
      </c>
      <c r="H22" s="16">
        <v>94</v>
      </c>
      <c r="I22" s="8"/>
      <c r="J22" s="12"/>
      <c r="K22" s="119">
        <f t="shared" si="11"/>
        <v>216200</v>
      </c>
      <c r="L22" s="14"/>
      <c r="M22" s="14"/>
      <c r="N22" s="14"/>
      <c r="O22" s="15">
        <f t="shared" si="16"/>
        <v>564</v>
      </c>
      <c r="P22" s="15"/>
      <c r="Q22" s="15"/>
      <c r="S22" s="16" t="s">
        <v>7</v>
      </c>
      <c r="T22" s="16">
        <v>6</v>
      </c>
      <c r="U22" s="16">
        <v>94</v>
      </c>
      <c r="V22" s="8" t="s">
        <v>15</v>
      </c>
      <c r="W22" s="8">
        <v>94</v>
      </c>
      <c r="X22" s="12">
        <v>153600</v>
      </c>
      <c r="Y22" s="13">
        <f t="shared" si="14"/>
        <v>1634.0425531914893</v>
      </c>
      <c r="Z22" s="12">
        <f t="shared" si="15"/>
        <v>921600</v>
      </c>
      <c r="AA22" s="15"/>
      <c r="AB22" s="15"/>
    </row>
    <row r="23" spans="1:28" x14ac:dyDescent="0.25">
      <c r="F23" s="16" t="s">
        <v>8</v>
      </c>
      <c r="G23" s="16">
        <v>6</v>
      </c>
      <c r="H23" s="16">
        <v>120</v>
      </c>
      <c r="I23" s="8"/>
      <c r="J23" s="12"/>
      <c r="K23" s="119">
        <f t="shared" si="11"/>
        <v>276000</v>
      </c>
      <c r="L23" s="14"/>
      <c r="M23" s="14"/>
      <c r="N23" s="14"/>
      <c r="O23" s="15">
        <f t="shared" si="16"/>
        <v>720</v>
      </c>
      <c r="P23" s="15"/>
      <c r="Q23" s="15"/>
      <c r="S23" s="16" t="s">
        <v>8</v>
      </c>
      <c r="T23" s="16">
        <v>6</v>
      </c>
      <c r="U23" s="16">
        <v>120</v>
      </c>
      <c r="V23" s="8" t="s">
        <v>16</v>
      </c>
      <c r="W23" s="8">
        <v>114</v>
      </c>
      <c r="X23" s="12">
        <v>206400</v>
      </c>
      <c r="Y23" s="13">
        <f t="shared" si="14"/>
        <v>1810.5263157894738</v>
      </c>
      <c r="Z23" s="12">
        <f t="shared" si="15"/>
        <v>1303578.9473684211</v>
      </c>
      <c r="AA23" s="15"/>
      <c r="AB23" s="15"/>
    </row>
    <row r="24" spans="1:28" x14ac:dyDescent="0.25">
      <c r="F24" s="16" t="s">
        <v>9</v>
      </c>
      <c r="G24" s="16">
        <v>2</v>
      </c>
      <c r="H24" s="16">
        <v>135</v>
      </c>
      <c r="I24" s="8"/>
      <c r="J24" s="12"/>
      <c r="K24" s="119">
        <f t="shared" si="11"/>
        <v>310500</v>
      </c>
      <c r="L24" s="14"/>
      <c r="M24" s="14"/>
      <c r="N24" s="14"/>
      <c r="O24" s="15">
        <f t="shared" si="16"/>
        <v>270</v>
      </c>
      <c r="P24" s="15"/>
      <c r="Q24" s="15"/>
      <c r="S24" s="16" t="s">
        <v>9</v>
      </c>
      <c r="T24" s="16">
        <v>2</v>
      </c>
      <c r="U24" s="16">
        <v>135</v>
      </c>
      <c r="V24" s="8" t="s">
        <v>16</v>
      </c>
      <c r="W24" s="8">
        <v>114</v>
      </c>
      <c r="X24" s="12">
        <v>206400</v>
      </c>
      <c r="Y24" s="13">
        <f t="shared" si="14"/>
        <v>1810.5263157894738</v>
      </c>
      <c r="Z24" s="12">
        <f t="shared" si="15"/>
        <v>488842.10526315792</v>
      </c>
      <c r="AA24" s="15"/>
      <c r="AB24" s="15"/>
    </row>
    <row r="25" spans="1:28" x14ac:dyDescent="0.25">
      <c r="G25" s="3">
        <f>SUM(G17:G24)</f>
        <v>30</v>
      </c>
      <c r="L25" s="27"/>
      <c r="M25" s="35">
        <f>SUM(M17)</f>
        <v>77050</v>
      </c>
      <c r="N25" s="35">
        <f>SUM(N18:N19)</f>
        <v>251156</v>
      </c>
      <c r="O25" s="63">
        <f>SUM(O17:O24)</f>
        <v>2793</v>
      </c>
      <c r="P25" s="58">
        <f>SUM(O20:O24)</f>
        <v>2376</v>
      </c>
      <c r="Q25" s="15"/>
      <c r="T25" s="3">
        <f>SUM(T17:T24)</f>
        <v>30</v>
      </c>
      <c r="Y25" s="31" t="s">
        <v>1</v>
      </c>
      <c r="Z25" s="98">
        <f>SUM(Z17:Z24)</f>
        <v>4950247.6681847004</v>
      </c>
      <c r="AA25" s="32">
        <f>SUM(Z25*0.25)</f>
        <v>1237561.9170461751</v>
      </c>
      <c r="AB25" s="11">
        <f>SUM(AA25*0.604)</f>
        <v>747487.39789588971</v>
      </c>
    </row>
    <row r="26" spans="1:28" x14ac:dyDescent="0.25">
      <c r="F26" s="95"/>
      <c r="G26" s="99"/>
      <c r="H26" s="45"/>
      <c r="I26" s="45"/>
      <c r="L26" s="20"/>
      <c r="M26" s="90" t="s">
        <v>1</v>
      </c>
      <c r="N26" s="11">
        <f>SUM(M25:N25)</f>
        <v>328206</v>
      </c>
      <c r="O26" s="6" t="s">
        <v>141</v>
      </c>
      <c r="S26" s="95"/>
      <c r="T26" s="96"/>
      <c r="U26" s="45"/>
      <c r="V26" s="45"/>
      <c r="AA26" s="34" t="s">
        <v>17</v>
      </c>
      <c r="AB26" s="11">
        <f>SUM(AB25/(T25*0.25))</f>
        <v>99664.986386118631</v>
      </c>
    </row>
    <row r="27" spans="1:28" x14ac:dyDescent="0.25">
      <c r="F27" s="95"/>
      <c r="G27" s="99"/>
      <c r="H27" s="45"/>
      <c r="I27" s="45"/>
      <c r="M27" s="44" t="s">
        <v>30</v>
      </c>
      <c r="N27" s="11">
        <f>SUM(AB26*0.5)</f>
        <v>49832.493193059316</v>
      </c>
      <c r="O27" s="40" t="s">
        <v>35</v>
      </c>
      <c r="AA27" s="2"/>
      <c r="AB27" s="5"/>
    </row>
    <row r="29" spans="1:28" x14ac:dyDescent="0.25">
      <c r="C29" s="6" t="s">
        <v>61</v>
      </c>
      <c r="D29" s="2" t="s">
        <v>60</v>
      </c>
      <c r="F29" s="2" t="s">
        <v>49</v>
      </c>
      <c r="S29" s="2" t="s">
        <v>106</v>
      </c>
    </row>
    <row r="30" spans="1:28" ht="32.25" x14ac:dyDescent="0.25">
      <c r="B30" s="6" t="s">
        <v>73</v>
      </c>
      <c r="C30" s="6">
        <f>SUM(35*0.25)</f>
        <v>8.75</v>
      </c>
      <c r="F30" s="3" t="s">
        <v>0</v>
      </c>
      <c r="G30" s="3" t="s">
        <v>2</v>
      </c>
      <c r="H30" s="3" t="s">
        <v>10</v>
      </c>
      <c r="I30" s="10" t="s">
        <v>34</v>
      </c>
      <c r="J30" s="10" t="s">
        <v>36</v>
      </c>
      <c r="K30" s="82" t="s">
        <v>69</v>
      </c>
      <c r="L30" s="10" t="s">
        <v>27</v>
      </c>
      <c r="M30" s="10" t="s">
        <v>29</v>
      </c>
      <c r="N30" s="10" t="s">
        <v>32</v>
      </c>
      <c r="O30" s="10" t="s">
        <v>163</v>
      </c>
      <c r="P30" s="54" t="s">
        <v>164</v>
      </c>
      <c r="Q30" s="54" t="s">
        <v>165</v>
      </c>
      <c r="S30" s="3" t="s">
        <v>0</v>
      </c>
      <c r="T30" s="3" t="s">
        <v>2</v>
      </c>
      <c r="U30" s="3" t="s">
        <v>10</v>
      </c>
      <c r="V30" s="7" t="s">
        <v>11</v>
      </c>
      <c r="W30" s="7" t="s">
        <v>10</v>
      </c>
      <c r="X30" s="7" t="s">
        <v>22</v>
      </c>
      <c r="Y30" s="7" t="s">
        <v>162</v>
      </c>
      <c r="Z30" s="7" t="s">
        <v>12</v>
      </c>
      <c r="AA30" s="7" t="s">
        <v>121</v>
      </c>
      <c r="AB30" s="10" t="s">
        <v>140</v>
      </c>
    </row>
    <row r="31" spans="1:28" x14ac:dyDescent="0.25">
      <c r="A31" s="6">
        <f>35*0.25</f>
        <v>8.75</v>
      </c>
      <c r="B31" s="6" t="s">
        <v>44</v>
      </c>
      <c r="C31" s="64">
        <f>A31*0.2</f>
        <v>1.75</v>
      </c>
      <c r="D31" s="117">
        <v>1</v>
      </c>
      <c r="F31" s="21" t="s">
        <v>38</v>
      </c>
      <c r="G31" s="21">
        <v>1</v>
      </c>
      <c r="H31" s="18">
        <v>78</v>
      </c>
      <c r="I31" s="21"/>
      <c r="J31" s="87">
        <f>H31*2300</f>
        <v>179400</v>
      </c>
      <c r="K31" s="119">
        <f>H31*2300</f>
        <v>179400</v>
      </c>
      <c r="L31" s="87">
        <f>SUM(J31*G31)</f>
        <v>179400</v>
      </c>
      <c r="M31" s="76">
        <f>SUM(L31*0.5)</f>
        <v>89700</v>
      </c>
      <c r="N31" s="48"/>
      <c r="O31" s="15">
        <f t="shared" ref="O31:O33" si="17">SUM(G31*H31)</f>
        <v>78</v>
      </c>
      <c r="P31" s="15"/>
      <c r="Q31" s="15"/>
      <c r="S31" s="16" t="s">
        <v>4</v>
      </c>
      <c r="T31" s="16">
        <v>1</v>
      </c>
      <c r="U31" s="16">
        <v>78</v>
      </c>
      <c r="V31" s="8" t="s">
        <v>13</v>
      </c>
      <c r="W31" s="8">
        <v>83</v>
      </c>
      <c r="X31" s="12">
        <v>147800</v>
      </c>
      <c r="Y31" s="13">
        <f t="shared" ref="Y31" si="18">SUM(X31/W31)</f>
        <v>1780.7228915662652</v>
      </c>
      <c r="Z31" s="12">
        <f t="shared" ref="Z31" si="19">SUM((T31*U31)*Y31)</f>
        <v>138896.38554216869</v>
      </c>
      <c r="AA31" s="15"/>
      <c r="AB31" s="15"/>
    </row>
    <row r="32" spans="1:28" x14ac:dyDescent="0.25">
      <c r="A32" s="6">
        <f>A31</f>
        <v>8.75</v>
      </c>
      <c r="B32" s="6" t="s">
        <v>45</v>
      </c>
      <c r="C32" s="6">
        <f>A32*0.8</f>
        <v>7</v>
      </c>
      <c r="D32" s="2">
        <v>7</v>
      </c>
      <c r="F32" s="18" t="s">
        <v>26</v>
      </c>
      <c r="G32" s="18">
        <v>4</v>
      </c>
      <c r="H32" s="17">
        <v>46</v>
      </c>
      <c r="I32" s="18" t="s">
        <v>28</v>
      </c>
      <c r="J32" s="48">
        <v>95800</v>
      </c>
      <c r="K32" s="119">
        <f t="shared" ref="K32:K38" si="20">H32*2300</f>
        <v>105800</v>
      </c>
      <c r="L32" s="48">
        <f>SUM(J32*G32)</f>
        <v>383200</v>
      </c>
      <c r="M32" s="41"/>
      <c r="N32" s="49">
        <f>SUM(L32*0.37)</f>
        <v>141784</v>
      </c>
      <c r="O32" s="15">
        <f t="shared" si="17"/>
        <v>184</v>
      </c>
      <c r="P32" s="15"/>
      <c r="Q32" s="15"/>
      <c r="S32" s="16" t="s">
        <v>63</v>
      </c>
      <c r="T32" s="16">
        <v>4</v>
      </c>
      <c r="U32" s="16">
        <v>46</v>
      </c>
      <c r="V32" s="74" t="s">
        <v>28</v>
      </c>
      <c r="W32" s="91">
        <v>46</v>
      </c>
      <c r="X32" s="94">
        <v>95800</v>
      </c>
      <c r="Y32" s="97">
        <f t="shared" ref="Y32" si="21">SUM(X32/W32)</f>
        <v>2082.608695652174</v>
      </c>
      <c r="Z32" s="92">
        <f t="shared" ref="Z32" si="22">SUM((T32*U32)*Y32)</f>
        <v>383200</v>
      </c>
      <c r="AA32" s="15"/>
      <c r="AB32" s="15"/>
    </row>
    <row r="33" spans="1:28" x14ac:dyDescent="0.25">
      <c r="B33" s="6" t="s">
        <v>47</v>
      </c>
      <c r="C33" s="64">
        <v>0.75</v>
      </c>
      <c r="D33" s="71">
        <v>0.75</v>
      </c>
      <c r="F33" s="18" t="s">
        <v>25</v>
      </c>
      <c r="G33" s="18">
        <v>3</v>
      </c>
      <c r="H33" s="18">
        <v>83</v>
      </c>
      <c r="I33" s="21" t="s">
        <v>41</v>
      </c>
      <c r="J33" s="41">
        <v>147800</v>
      </c>
      <c r="K33" s="119">
        <f t="shared" si="20"/>
        <v>190900</v>
      </c>
      <c r="L33" s="48">
        <f>SUM(J33*G33)</f>
        <v>443400</v>
      </c>
      <c r="M33" s="41"/>
      <c r="N33" s="49">
        <f>SUM(L33*0.37)</f>
        <v>164058</v>
      </c>
      <c r="O33" s="15">
        <f t="shared" si="17"/>
        <v>249</v>
      </c>
      <c r="P33" s="15"/>
      <c r="Q33" s="61">
        <f>SUM(O30:O33)</f>
        <v>511</v>
      </c>
      <c r="S33" s="16" t="s">
        <v>3</v>
      </c>
      <c r="T33" s="16">
        <v>3</v>
      </c>
      <c r="U33" s="16">
        <v>67</v>
      </c>
      <c r="V33" s="8" t="s">
        <v>13</v>
      </c>
      <c r="W33" s="8">
        <v>83</v>
      </c>
      <c r="X33" s="12">
        <v>147800</v>
      </c>
      <c r="Y33" s="13">
        <f t="shared" ref="Y33:Y38" si="23">SUM(X33/W33)</f>
        <v>1780.7228915662652</v>
      </c>
      <c r="Z33" s="12">
        <f t="shared" ref="Z33:Z38" si="24">SUM((T33*U33)*Y33)</f>
        <v>357925.30120481929</v>
      </c>
      <c r="AA33" s="15"/>
      <c r="AB33" s="15"/>
    </row>
    <row r="34" spans="1:28" x14ac:dyDescent="0.25">
      <c r="F34" s="16" t="s">
        <v>4</v>
      </c>
      <c r="G34" s="16">
        <v>4</v>
      </c>
      <c r="H34" s="16">
        <v>78</v>
      </c>
      <c r="I34" s="8"/>
      <c r="J34" s="12"/>
      <c r="K34" s="119">
        <f t="shared" si="20"/>
        <v>179400</v>
      </c>
      <c r="L34" s="14"/>
      <c r="M34" s="15"/>
      <c r="N34" s="15"/>
      <c r="O34" s="15">
        <f t="shared" ref="O34:O38" si="25">SUM(G34*H34)</f>
        <v>312</v>
      </c>
      <c r="P34" s="15"/>
      <c r="Q34" s="15"/>
      <c r="S34" s="16" t="s">
        <v>4</v>
      </c>
      <c r="T34" s="16">
        <v>4</v>
      </c>
      <c r="U34" s="16">
        <v>78</v>
      </c>
      <c r="V34" s="8" t="s">
        <v>13</v>
      </c>
      <c r="W34" s="8">
        <v>83</v>
      </c>
      <c r="X34" s="12">
        <v>147800</v>
      </c>
      <c r="Y34" s="13">
        <f t="shared" si="23"/>
        <v>1780.7228915662652</v>
      </c>
      <c r="Z34" s="12">
        <f t="shared" si="24"/>
        <v>555585.54216867476</v>
      </c>
      <c r="AA34" s="15"/>
      <c r="AB34" s="15"/>
    </row>
    <row r="35" spans="1:28" x14ac:dyDescent="0.25">
      <c r="F35" s="16" t="s">
        <v>5</v>
      </c>
      <c r="G35" s="16">
        <v>8</v>
      </c>
      <c r="H35" s="16">
        <v>82</v>
      </c>
      <c r="I35" s="8"/>
      <c r="J35" s="12"/>
      <c r="K35" s="119">
        <f t="shared" si="20"/>
        <v>188600</v>
      </c>
      <c r="L35" s="14"/>
      <c r="M35" s="15"/>
      <c r="N35" s="15"/>
      <c r="O35" s="15">
        <f t="shared" si="25"/>
        <v>656</v>
      </c>
      <c r="P35" s="15"/>
      <c r="Q35" s="15"/>
      <c r="S35" s="16" t="s">
        <v>5</v>
      </c>
      <c r="T35" s="16">
        <v>8</v>
      </c>
      <c r="U35" s="16">
        <v>82</v>
      </c>
      <c r="V35" s="8" t="s">
        <v>14</v>
      </c>
      <c r="W35" s="8">
        <v>88</v>
      </c>
      <c r="X35" s="12">
        <v>154200</v>
      </c>
      <c r="Y35" s="13">
        <f t="shared" si="23"/>
        <v>1752.2727272727273</v>
      </c>
      <c r="Z35" s="12">
        <f t="shared" si="24"/>
        <v>1149490.9090909092</v>
      </c>
      <c r="AA35" s="15"/>
      <c r="AB35" s="15"/>
    </row>
    <row r="36" spans="1:28" x14ac:dyDescent="0.25">
      <c r="F36" s="16" t="s">
        <v>6</v>
      </c>
      <c r="G36" s="16">
        <v>4</v>
      </c>
      <c r="H36" s="16">
        <v>110</v>
      </c>
      <c r="I36" s="8"/>
      <c r="J36" s="12"/>
      <c r="K36" s="119">
        <f t="shared" si="20"/>
        <v>253000</v>
      </c>
      <c r="L36" s="14"/>
      <c r="M36" s="15"/>
      <c r="N36" s="15"/>
      <c r="O36" s="15">
        <f t="shared" si="25"/>
        <v>440</v>
      </c>
      <c r="P36" s="15"/>
      <c r="Q36" s="15"/>
      <c r="S36" s="16" t="s">
        <v>6</v>
      </c>
      <c r="T36" s="16">
        <v>4</v>
      </c>
      <c r="U36" s="16">
        <v>110</v>
      </c>
      <c r="V36" s="8" t="s">
        <v>20</v>
      </c>
      <c r="W36" s="8">
        <v>110</v>
      </c>
      <c r="X36" s="12">
        <v>192000</v>
      </c>
      <c r="Y36" s="13">
        <f t="shared" si="23"/>
        <v>1745.4545454545455</v>
      </c>
      <c r="Z36" s="12">
        <f t="shared" si="24"/>
        <v>768000</v>
      </c>
      <c r="AA36" s="15"/>
      <c r="AB36" s="15"/>
    </row>
    <row r="37" spans="1:28" x14ac:dyDescent="0.25">
      <c r="F37" s="16" t="s">
        <v>7</v>
      </c>
      <c r="G37" s="16">
        <v>6</v>
      </c>
      <c r="H37" s="16">
        <v>94</v>
      </c>
      <c r="I37" s="8"/>
      <c r="J37" s="12"/>
      <c r="K37" s="119">
        <f t="shared" si="20"/>
        <v>216200</v>
      </c>
      <c r="L37" s="14"/>
      <c r="M37" s="15"/>
      <c r="N37" s="15"/>
      <c r="O37" s="15">
        <f t="shared" si="25"/>
        <v>564</v>
      </c>
      <c r="P37" s="15"/>
      <c r="Q37" s="15"/>
      <c r="S37" s="16" t="s">
        <v>7</v>
      </c>
      <c r="T37" s="16">
        <v>6</v>
      </c>
      <c r="U37" s="16">
        <v>94</v>
      </c>
      <c r="V37" s="8" t="s">
        <v>15</v>
      </c>
      <c r="W37" s="8">
        <v>94</v>
      </c>
      <c r="X37" s="12">
        <v>153600</v>
      </c>
      <c r="Y37" s="13">
        <f t="shared" si="23"/>
        <v>1634.0425531914893</v>
      </c>
      <c r="Z37" s="12">
        <f t="shared" si="24"/>
        <v>921600</v>
      </c>
      <c r="AA37" s="15"/>
      <c r="AB37" s="15"/>
    </row>
    <row r="38" spans="1:28" x14ac:dyDescent="0.25">
      <c r="F38" s="16" t="s">
        <v>8</v>
      </c>
      <c r="G38" s="16">
        <v>5</v>
      </c>
      <c r="H38" s="16">
        <v>120</v>
      </c>
      <c r="I38" s="8"/>
      <c r="J38" s="12"/>
      <c r="K38" s="119">
        <f t="shared" si="20"/>
        <v>276000</v>
      </c>
      <c r="L38" s="14"/>
      <c r="M38" s="15"/>
      <c r="N38" s="15"/>
      <c r="O38" s="15">
        <f t="shared" si="25"/>
        <v>600</v>
      </c>
      <c r="P38" s="15"/>
      <c r="Q38" s="15"/>
      <c r="S38" s="16" t="s">
        <v>8</v>
      </c>
      <c r="T38" s="16">
        <v>5</v>
      </c>
      <c r="U38" s="16">
        <v>120</v>
      </c>
      <c r="V38" s="8" t="s">
        <v>16</v>
      </c>
      <c r="W38" s="8">
        <v>114</v>
      </c>
      <c r="X38" s="12">
        <v>206400</v>
      </c>
      <c r="Y38" s="13">
        <f t="shared" si="23"/>
        <v>1810.5263157894738</v>
      </c>
      <c r="Z38" s="12">
        <f t="shared" si="24"/>
        <v>1086315.7894736843</v>
      </c>
      <c r="AA38" s="15"/>
      <c r="AB38" s="15"/>
    </row>
    <row r="39" spans="1:28" x14ac:dyDescent="0.25">
      <c r="G39" s="3">
        <f>SUM(G30:G38)</f>
        <v>35</v>
      </c>
      <c r="L39" s="50"/>
      <c r="M39" s="35">
        <f>SUM(M30:M31)</f>
        <v>89700</v>
      </c>
      <c r="N39" s="35">
        <f>SUM(N32:N33)</f>
        <v>305842</v>
      </c>
      <c r="O39" s="62">
        <f>SUM(O30:O38)</f>
        <v>3083</v>
      </c>
      <c r="P39" s="58">
        <f>SUM(O34:O38)</f>
        <v>2572</v>
      </c>
      <c r="Q39" s="15"/>
      <c r="T39" s="3">
        <f>SUM(T31:T38)</f>
        <v>35</v>
      </c>
      <c r="Y39" s="31" t="s">
        <v>1</v>
      </c>
      <c r="Z39" s="98">
        <f>SUM(Z31:Z38)</f>
        <v>5361013.9274802562</v>
      </c>
      <c r="AA39" s="32">
        <f>SUM(Z39*0.25)</f>
        <v>1340253.481870064</v>
      </c>
      <c r="AB39" s="11">
        <f>SUM(AA39*0.604)</f>
        <v>809513.10304951866</v>
      </c>
    </row>
    <row r="40" spans="1:28" x14ac:dyDescent="0.25">
      <c r="F40" s="95"/>
      <c r="G40" s="99"/>
      <c r="H40" s="45"/>
      <c r="I40" s="45"/>
      <c r="J40" s="45"/>
      <c r="M40" s="90" t="s">
        <v>1</v>
      </c>
      <c r="N40" s="11">
        <f>SUM(M39:N39)</f>
        <v>395542</v>
      </c>
      <c r="O40" s="6" t="s">
        <v>141</v>
      </c>
      <c r="S40" s="95"/>
      <c r="T40" s="96"/>
      <c r="U40" s="45"/>
      <c r="V40" s="45"/>
      <c r="AA40" s="34" t="s">
        <v>17</v>
      </c>
      <c r="AB40" s="11">
        <f>SUM(AB39/(T39*0.25))</f>
        <v>92515.783205659274</v>
      </c>
    </row>
    <row r="41" spans="1:28" x14ac:dyDescent="0.25">
      <c r="F41" s="95"/>
      <c r="G41" s="99"/>
      <c r="H41" s="45"/>
      <c r="I41" s="45"/>
      <c r="J41" s="45"/>
      <c r="M41" s="44" t="s">
        <v>42</v>
      </c>
      <c r="N41" s="11">
        <f>SUM(AB40*0.75)</f>
        <v>69386.837404244463</v>
      </c>
      <c r="O41" s="40" t="s">
        <v>35</v>
      </c>
      <c r="AA41" s="2"/>
      <c r="AB41" s="5"/>
    </row>
    <row r="42" spans="1:28" x14ac:dyDescent="0.25">
      <c r="AA42" s="2"/>
      <c r="AB42" s="5"/>
    </row>
    <row r="43" spans="1:28" x14ac:dyDescent="0.25">
      <c r="C43" s="6" t="s">
        <v>61</v>
      </c>
      <c r="D43" s="2" t="s">
        <v>60</v>
      </c>
      <c r="F43" s="2" t="s">
        <v>50</v>
      </c>
    </row>
    <row r="44" spans="1:28" ht="32.25" x14ac:dyDescent="0.25">
      <c r="B44" s="6" t="s">
        <v>73</v>
      </c>
      <c r="C44" s="6">
        <f>SUM(40*0.25)</f>
        <v>10</v>
      </c>
      <c r="F44" s="3" t="s">
        <v>0</v>
      </c>
      <c r="G44" s="3" t="s">
        <v>2</v>
      </c>
      <c r="H44" s="3" t="s">
        <v>10</v>
      </c>
      <c r="I44" s="10" t="s">
        <v>34</v>
      </c>
      <c r="J44" s="10" t="s">
        <v>36</v>
      </c>
      <c r="K44" s="82" t="s">
        <v>69</v>
      </c>
      <c r="L44" s="10" t="s">
        <v>27</v>
      </c>
      <c r="M44" s="10" t="s">
        <v>29</v>
      </c>
      <c r="N44" s="10" t="s">
        <v>32</v>
      </c>
      <c r="O44" s="10" t="s">
        <v>163</v>
      </c>
      <c r="P44" s="54" t="s">
        <v>164</v>
      </c>
      <c r="Q44" s="54" t="s">
        <v>165</v>
      </c>
      <c r="S44" s="47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x14ac:dyDescent="0.25">
      <c r="A45" s="6">
        <f>40*0.25</f>
        <v>10</v>
      </c>
      <c r="B45" s="6" t="s">
        <v>44</v>
      </c>
      <c r="C45" s="65">
        <f>A45*0.2</f>
        <v>2</v>
      </c>
      <c r="D45" s="115">
        <v>2</v>
      </c>
      <c r="F45" s="18" t="s">
        <v>37</v>
      </c>
      <c r="G45" s="18">
        <v>2</v>
      </c>
      <c r="H45" s="18">
        <v>67</v>
      </c>
      <c r="I45" s="21"/>
      <c r="J45" s="87">
        <f>H45*2300</f>
        <v>154100</v>
      </c>
      <c r="K45" s="119">
        <f>H45*2300</f>
        <v>154100</v>
      </c>
      <c r="L45" s="87">
        <f>SUM(J45*G45)</f>
        <v>308200</v>
      </c>
      <c r="M45" s="76">
        <f>SUM(L45*0.5)</f>
        <v>154100</v>
      </c>
      <c r="N45" s="49"/>
      <c r="O45" s="15">
        <f t="shared" ref="O45" si="26">SUM(G45*H45)</f>
        <v>134</v>
      </c>
      <c r="P45" s="15"/>
      <c r="Q45" s="15"/>
      <c r="S45" s="37"/>
      <c r="T45" s="37"/>
      <c r="U45" s="37"/>
      <c r="V45" s="103"/>
      <c r="W45" s="103"/>
      <c r="X45" s="103"/>
      <c r="Y45" s="103"/>
      <c r="Z45" s="103"/>
      <c r="AA45" s="103"/>
      <c r="AB45" s="103"/>
    </row>
    <row r="46" spans="1:28" x14ac:dyDescent="0.25">
      <c r="A46" s="6">
        <f>A45</f>
        <v>10</v>
      </c>
      <c r="B46" s="6" t="s">
        <v>45</v>
      </c>
      <c r="C46" s="65">
        <f>A46*0.8</f>
        <v>8</v>
      </c>
      <c r="D46" s="115">
        <v>8</v>
      </c>
      <c r="F46" s="18" t="s">
        <v>26</v>
      </c>
      <c r="G46" s="18">
        <v>4</v>
      </c>
      <c r="H46" s="17">
        <v>46</v>
      </c>
      <c r="I46" s="18" t="s">
        <v>28</v>
      </c>
      <c r="J46" s="48">
        <v>95800</v>
      </c>
      <c r="K46" s="119">
        <f t="shared" ref="K46:K54" si="27">H46*2300</f>
        <v>105800</v>
      </c>
      <c r="L46" s="48">
        <f>SUM(J46*G46)</f>
        <v>383200</v>
      </c>
      <c r="M46" s="42"/>
      <c r="N46" s="49">
        <f>SUM(L46*0.37)</f>
        <v>141784</v>
      </c>
      <c r="O46" s="15">
        <f>SUM(G46*H46)</f>
        <v>184</v>
      </c>
      <c r="P46" s="15"/>
      <c r="Q46" s="15"/>
      <c r="V46" s="112"/>
      <c r="W46" s="112"/>
      <c r="X46" s="25"/>
      <c r="Y46" s="109"/>
      <c r="Z46" s="26"/>
      <c r="AA46" s="112"/>
      <c r="AB46" s="112"/>
    </row>
    <row r="47" spans="1:28" x14ac:dyDescent="0.25">
      <c r="B47" s="6" t="s">
        <v>47</v>
      </c>
      <c r="C47" s="65">
        <v>0</v>
      </c>
      <c r="D47" s="115">
        <v>0</v>
      </c>
      <c r="F47" s="18" t="s">
        <v>25</v>
      </c>
      <c r="G47" s="18">
        <v>2</v>
      </c>
      <c r="H47" s="18">
        <v>83</v>
      </c>
      <c r="I47" s="21" t="s">
        <v>41</v>
      </c>
      <c r="J47" s="41">
        <v>147800</v>
      </c>
      <c r="K47" s="119">
        <f t="shared" si="27"/>
        <v>190900</v>
      </c>
      <c r="L47" s="48">
        <f>SUM(J47*G47)</f>
        <v>295600</v>
      </c>
      <c r="M47" s="42"/>
      <c r="N47" s="49">
        <f>SUM(L47*0.37)</f>
        <v>109372</v>
      </c>
      <c r="O47" s="15">
        <f>SUM(G47*H47)</f>
        <v>166</v>
      </c>
      <c r="P47" s="15"/>
      <c r="Q47" s="15"/>
      <c r="V47" s="24"/>
      <c r="W47" s="24"/>
      <c r="X47" s="25"/>
      <c r="Y47" s="109"/>
      <c r="Z47" s="26"/>
      <c r="AA47" s="45"/>
      <c r="AB47" s="45"/>
    </row>
    <row r="48" spans="1:28" x14ac:dyDescent="0.25">
      <c r="F48" s="18" t="s">
        <v>31</v>
      </c>
      <c r="G48" s="18">
        <v>2</v>
      </c>
      <c r="H48" s="18">
        <v>94</v>
      </c>
      <c r="I48" s="21" t="s">
        <v>15</v>
      </c>
      <c r="J48" s="41">
        <v>164700</v>
      </c>
      <c r="K48" s="119">
        <f t="shared" si="27"/>
        <v>216200</v>
      </c>
      <c r="L48" s="48">
        <f>SUM(J48*G48)</f>
        <v>329400</v>
      </c>
      <c r="M48" s="51"/>
      <c r="N48" s="49">
        <f>SUM(L48*0.37)</f>
        <v>121878</v>
      </c>
      <c r="O48" s="15">
        <f>SUM(G48*H48)</f>
        <v>188</v>
      </c>
      <c r="P48" s="15"/>
      <c r="Q48" s="61">
        <f>SUM(O45:O48)</f>
        <v>672</v>
      </c>
      <c r="V48" s="24"/>
      <c r="W48" s="24"/>
      <c r="X48" s="25"/>
      <c r="Y48" s="109"/>
      <c r="Z48" s="26"/>
      <c r="AA48" s="45"/>
      <c r="AB48" s="45"/>
    </row>
    <row r="49" spans="6:28" x14ac:dyDescent="0.25">
      <c r="F49" s="16" t="s">
        <v>4</v>
      </c>
      <c r="G49" s="16">
        <v>4</v>
      </c>
      <c r="H49" s="16">
        <v>78</v>
      </c>
      <c r="I49" s="8"/>
      <c r="J49" s="12"/>
      <c r="K49" s="119">
        <f t="shared" si="27"/>
        <v>179400</v>
      </c>
      <c r="L49" s="14"/>
      <c r="M49" s="15"/>
      <c r="N49" s="15"/>
      <c r="O49" s="15">
        <f t="shared" ref="O49:O54" si="28">SUM(G49*H49)</f>
        <v>312</v>
      </c>
      <c r="P49" s="15"/>
      <c r="Q49" s="15"/>
      <c r="V49" s="24"/>
      <c r="W49" s="24"/>
      <c r="X49" s="25"/>
      <c r="Y49" s="109"/>
      <c r="Z49" s="26"/>
      <c r="AA49" s="45"/>
      <c r="AB49" s="45"/>
    </row>
    <row r="50" spans="6:28" x14ac:dyDescent="0.25">
      <c r="F50" s="16" t="s">
        <v>18</v>
      </c>
      <c r="G50" s="16">
        <v>2</v>
      </c>
      <c r="H50" s="16">
        <v>110</v>
      </c>
      <c r="I50" s="8"/>
      <c r="J50" s="12"/>
      <c r="K50" s="119">
        <f t="shared" si="27"/>
        <v>253000</v>
      </c>
      <c r="L50" s="14"/>
      <c r="M50" s="15"/>
      <c r="N50" s="15"/>
      <c r="O50" s="15">
        <f t="shared" si="28"/>
        <v>220</v>
      </c>
      <c r="P50" s="15"/>
      <c r="Q50" s="15"/>
      <c r="V50" s="24"/>
      <c r="W50" s="24"/>
      <c r="X50" s="25"/>
      <c r="Y50" s="109"/>
      <c r="Z50" s="26"/>
      <c r="AA50" s="45"/>
      <c r="AB50" s="45"/>
    </row>
    <row r="51" spans="6:28" x14ac:dyDescent="0.25">
      <c r="F51" s="16" t="s">
        <v>5</v>
      </c>
      <c r="G51" s="16">
        <v>6</v>
      </c>
      <c r="H51" s="16">
        <v>82</v>
      </c>
      <c r="I51" s="8"/>
      <c r="J51" s="12"/>
      <c r="K51" s="119">
        <f t="shared" si="27"/>
        <v>188600</v>
      </c>
      <c r="L51" s="14"/>
      <c r="M51" s="15"/>
      <c r="N51" s="15"/>
      <c r="O51" s="15">
        <f t="shared" si="28"/>
        <v>492</v>
      </c>
      <c r="P51" s="15"/>
      <c r="Q51" s="15"/>
      <c r="S51" s="47"/>
      <c r="T51" s="45"/>
      <c r="U51" s="45"/>
      <c r="V51" s="24"/>
      <c r="W51" s="24"/>
      <c r="X51" s="25"/>
      <c r="Y51" s="109"/>
      <c r="Z51" s="26"/>
      <c r="AA51" s="45"/>
      <c r="AB51" s="45"/>
    </row>
    <row r="52" spans="6:28" x14ac:dyDescent="0.25">
      <c r="F52" s="16" t="s">
        <v>6</v>
      </c>
      <c r="G52" s="16">
        <v>4</v>
      </c>
      <c r="H52" s="16">
        <v>110</v>
      </c>
      <c r="I52" s="8"/>
      <c r="J52" s="12"/>
      <c r="K52" s="119">
        <f t="shared" si="27"/>
        <v>253000</v>
      </c>
      <c r="L52" s="14"/>
      <c r="M52" s="15"/>
      <c r="N52" s="15"/>
      <c r="O52" s="15">
        <f t="shared" si="28"/>
        <v>440</v>
      </c>
      <c r="P52" s="15"/>
      <c r="Q52" s="15"/>
      <c r="V52" s="24"/>
      <c r="W52" s="24"/>
      <c r="X52" s="25"/>
      <c r="Y52" s="109"/>
      <c r="Z52" s="26"/>
      <c r="AA52" s="45"/>
      <c r="AB52" s="45"/>
    </row>
    <row r="53" spans="6:28" x14ac:dyDescent="0.25">
      <c r="F53" s="16" t="s">
        <v>7</v>
      </c>
      <c r="G53" s="16">
        <v>8</v>
      </c>
      <c r="H53" s="16">
        <v>94</v>
      </c>
      <c r="I53" s="8"/>
      <c r="J53" s="12"/>
      <c r="K53" s="119">
        <f t="shared" si="27"/>
        <v>216200</v>
      </c>
      <c r="L53" s="14"/>
      <c r="M53" s="15"/>
      <c r="N53" s="15"/>
      <c r="O53" s="15">
        <f t="shared" si="28"/>
        <v>752</v>
      </c>
      <c r="P53" s="15"/>
      <c r="Q53" s="15"/>
      <c r="V53" s="24"/>
      <c r="W53" s="24"/>
      <c r="X53" s="25"/>
      <c r="Y53" s="109"/>
      <c r="Z53" s="26"/>
      <c r="AA53" s="45"/>
      <c r="AB53" s="45"/>
    </row>
    <row r="54" spans="6:28" x14ac:dyDescent="0.25">
      <c r="F54" s="16" t="s">
        <v>8</v>
      </c>
      <c r="G54" s="121">
        <v>6</v>
      </c>
      <c r="H54" s="16">
        <v>120</v>
      </c>
      <c r="I54" s="8"/>
      <c r="J54" s="12"/>
      <c r="K54" s="119">
        <f t="shared" si="27"/>
        <v>276000</v>
      </c>
      <c r="L54" s="14"/>
      <c r="M54" s="15"/>
      <c r="N54" s="15"/>
      <c r="O54" s="15">
        <f t="shared" si="28"/>
        <v>720</v>
      </c>
      <c r="P54" s="15"/>
      <c r="Q54" s="15"/>
      <c r="V54" s="45"/>
      <c r="W54" s="45"/>
      <c r="X54" s="45"/>
      <c r="Y54" s="110"/>
      <c r="Z54" s="50"/>
      <c r="AA54" s="50"/>
      <c r="AB54" s="102"/>
    </row>
    <row r="55" spans="6:28" x14ac:dyDescent="0.25">
      <c r="G55" s="3">
        <f>SUM(G45:G54)</f>
        <v>40</v>
      </c>
      <c r="L55" s="27"/>
      <c r="M55" s="35">
        <f>SUM(M45:M45)</f>
        <v>154100</v>
      </c>
      <c r="N55" s="35">
        <f>SUM(N46:N48)</f>
        <v>373034</v>
      </c>
      <c r="O55" s="62">
        <f>SUM(O45:O54)</f>
        <v>3608</v>
      </c>
      <c r="P55" s="58">
        <f>SUM(O49:O54)</f>
        <v>2936</v>
      </c>
      <c r="Q55" s="15"/>
      <c r="V55" s="45"/>
      <c r="W55" s="45"/>
      <c r="X55" s="45"/>
      <c r="Y55" s="45"/>
      <c r="Z55" s="45"/>
      <c r="AA55" s="47"/>
      <c r="AB55" s="113"/>
    </row>
    <row r="56" spans="6:28" x14ac:dyDescent="0.25">
      <c r="F56" s="95"/>
      <c r="G56" s="99"/>
      <c r="H56" s="45"/>
      <c r="M56" s="90" t="s">
        <v>1</v>
      </c>
      <c r="N56" s="11">
        <f>SUM(M55:N55)</f>
        <v>527134</v>
      </c>
      <c r="O56" s="6" t="s">
        <v>141</v>
      </c>
      <c r="V56" s="45"/>
      <c r="W56" s="45"/>
      <c r="X56" s="45"/>
      <c r="Y56" s="45"/>
      <c r="Z56" s="45"/>
      <c r="AA56" s="45"/>
      <c r="AB56" s="45"/>
    </row>
    <row r="57" spans="6:28" x14ac:dyDescent="0.25">
      <c r="F57" s="95"/>
      <c r="G57" s="99"/>
      <c r="H57" s="45"/>
      <c r="S57" s="47"/>
      <c r="T57" s="45"/>
      <c r="U57" s="45"/>
      <c r="V57" s="45"/>
      <c r="W57" s="45"/>
      <c r="X57" s="45"/>
      <c r="Y57" s="45"/>
      <c r="Z57" s="45"/>
      <c r="AA57" s="45"/>
      <c r="AB57" s="45"/>
    </row>
    <row r="58" spans="6:28" x14ac:dyDescent="0.25">
      <c r="F58" s="100"/>
      <c r="G58" s="96"/>
      <c r="H58" s="45"/>
      <c r="S58" s="37"/>
      <c r="T58" s="37"/>
      <c r="U58" s="37"/>
    </row>
    <row r="63" spans="6:28" ht="15" customHeight="1" x14ac:dyDescent="0.25"/>
    <row r="73" spans="25:28" x14ac:dyDescent="0.25">
      <c r="Y73" s="20"/>
      <c r="Z73" s="20"/>
      <c r="AA73" s="20"/>
      <c r="AB73" s="27"/>
    </row>
  </sheetData>
  <pageMargins left="0.25" right="0.25" top="0.75" bottom="0.75" header="0.3" footer="0.3"/>
  <pageSetup paperSize="9"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7"/>
  <sheetViews>
    <sheetView topLeftCell="A3" zoomScaleNormal="100" workbookViewId="0">
      <selection activeCell="U48" sqref="U48"/>
    </sheetView>
  </sheetViews>
  <sheetFormatPr defaultRowHeight="15" x14ac:dyDescent="0.25"/>
  <cols>
    <col min="1" max="1" width="4.140625" style="6" customWidth="1"/>
    <col min="2" max="2" width="3.42578125" style="6" customWidth="1"/>
    <col min="3" max="3" width="21.5703125" style="6" bestFit="1" customWidth="1"/>
    <col min="4" max="4" width="6.5703125" style="6" bestFit="1" customWidth="1"/>
    <col min="5" max="5" width="7" style="6" bestFit="1" customWidth="1"/>
    <col min="6" max="6" width="6" style="6" customWidth="1"/>
    <col min="7" max="7" width="28.28515625" style="6" customWidth="1"/>
    <col min="8" max="8" width="8.5703125" style="6" customWidth="1"/>
    <col min="9" max="9" width="6.85546875" style="6" customWidth="1"/>
    <col min="10" max="10" width="7.5703125" style="6" customWidth="1"/>
    <col min="11" max="14" width="9.140625" style="6"/>
    <col min="15" max="15" width="9.7109375" style="6" customWidth="1"/>
    <col min="16" max="16" width="6.5703125" style="6" customWidth="1"/>
    <col min="17" max="17" width="7.7109375" style="6" customWidth="1"/>
    <col min="18" max="18" width="6.7109375" style="6" customWidth="1"/>
    <col min="19" max="16384" width="9.140625" style="6"/>
  </cols>
  <sheetData>
    <row r="1" spans="2:18" x14ac:dyDescent="0.25">
      <c r="D1" s="6" t="s">
        <v>61</v>
      </c>
      <c r="E1" s="2" t="s">
        <v>60</v>
      </c>
      <c r="G1" s="2" t="s">
        <v>51</v>
      </c>
    </row>
    <row r="2" spans="2:18" ht="39" customHeight="1" x14ac:dyDescent="0.25">
      <c r="C2" s="6" t="s">
        <v>75</v>
      </c>
      <c r="D2" s="6">
        <f>SUM(25*0.2)</f>
        <v>5</v>
      </c>
      <c r="G2" s="3" t="s">
        <v>0</v>
      </c>
      <c r="H2" s="3" t="s">
        <v>2</v>
      </c>
      <c r="I2" s="3" t="s">
        <v>10</v>
      </c>
      <c r="J2" s="10" t="s">
        <v>34</v>
      </c>
      <c r="K2" s="10" t="s">
        <v>36</v>
      </c>
      <c r="L2" s="82" t="s">
        <v>69</v>
      </c>
      <c r="M2" s="10" t="s">
        <v>27</v>
      </c>
      <c r="N2" s="10" t="s">
        <v>29</v>
      </c>
      <c r="O2" s="10" t="s">
        <v>32</v>
      </c>
      <c r="P2" s="10" t="s">
        <v>163</v>
      </c>
      <c r="Q2" s="54" t="s">
        <v>164</v>
      </c>
      <c r="R2" s="54" t="s">
        <v>165</v>
      </c>
    </row>
    <row r="3" spans="2:18" x14ac:dyDescent="0.25">
      <c r="B3">
        <f>25*0.2</f>
        <v>5</v>
      </c>
      <c r="C3" s="6" t="s">
        <v>44</v>
      </c>
      <c r="D3" s="65">
        <f>B3*0.2</f>
        <v>1</v>
      </c>
      <c r="E3" s="115">
        <v>1</v>
      </c>
      <c r="G3" s="17" t="s">
        <v>37</v>
      </c>
      <c r="H3" s="17">
        <v>1</v>
      </c>
      <c r="I3" s="17">
        <v>67</v>
      </c>
      <c r="J3" s="18"/>
      <c r="K3" s="80">
        <f>SUM(I3*2200)</f>
        <v>147400</v>
      </c>
      <c r="L3" s="83">
        <f>SUM(I3*2200)</f>
        <v>147400</v>
      </c>
      <c r="M3" s="118">
        <f>SUM(K3*H3)</f>
        <v>147400</v>
      </c>
      <c r="N3" s="81">
        <f>SUM(M3*0.5)</f>
        <v>73700</v>
      </c>
      <c r="O3" s="30"/>
      <c r="P3" s="15">
        <f t="shared" ref="P3:P10" si="0">SUM(H3*I3)</f>
        <v>67</v>
      </c>
      <c r="Q3" s="15"/>
      <c r="R3" s="15"/>
    </row>
    <row r="4" spans="2:18" x14ac:dyDescent="0.25">
      <c r="B4">
        <f>B3</f>
        <v>5</v>
      </c>
      <c r="C4" s="6" t="s">
        <v>45</v>
      </c>
      <c r="D4" s="65">
        <f>B4*0.8</f>
        <v>4</v>
      </c>
      <c r="E4" s="115">
        <v>4</v>
      </c>
      <c r="G4" s="17" t="s">
        <v>26</v>
      </c>
      <c r="H4" s="17">
        <v>2</v>
      </c>
      <c r="I4" s="17">
        <v>46</v>
      </c>
      <c r="J4" s="18" t="s">
        <v>28</v>
      </c>
      <c r="K4" s="19">
        <v>95800</v>
      </c>
      <c r="L4" s="83">
        <f>SUM(I4*2200)</f>
        <v>101200</v>
      </c>
      <c r="M4" s="35">
        <f>SUM(K4*H4)</f>
        <v>191600</v>
      </c>
      <c r="N4" s="28"/>
      <c r="O4" s="30">
        <f>SUM(M4*0.37)</f>
        <v>70892</v>
      </c>
      <c r="P4" s="15">
        <f t="shared" si="0"/>
        <v>92</v>
      </c>
      <c r="Q4" s="15"/>
      <c r="R4" s="15"/>
    </row>
    <row r="5" spans="2:18" x14ac:dyDescent="0.25">
      <c r="B5"/>
      <c r="C5" t="s">
        <v>47</v>
      </c>
      <c r="D5" s="66">
        <v>0</v>
      </c>
      <c r="E5" s="115">
        <v>0</v>
      </c>
      <c r="G5" s="17" t="s">
        <v>25</v>
      </c>
      <c r="H5" s="17">
        <v>2</v>
      </c>
      <c r="I5" s="17">
        <v>83</v>
      </c>
      <c r="J5" s="18" t="s">
        <v>13</v>
      </c>
      <c r="K5" s="19">
        <v>147800</v>
      </c>
      <c r="L5" s="83">
        <f>SUM(I5*2200)</f>
        <v>182600</v>
      </c>
      <c r="M5" s="35">
        <f>SUM(K5*H5)</f>
        <v>295600</v>
      </c>
      <c r="N5" s="28"/>
      <c r="O5" s="30">
        <f>SUM(M5*0.37)</f>
        <v>109372</v>
      </c>
      <c r="P5" s="15">
        <f t="shared" si="0"/>
        <v>166</v>
      </c>
      <c r="Q5" s="15"/>
      <c r="R5" s="61">
        <f>SUM(P3:P5)</f>
        <v>325</v>
      </c>
    </row>
    <row r="6" spans="2:18" x14ac:dyDescent="0.25">
      <c r="G6" s="16" t="s">
        <v>5</v>
      </c>
      <c r="H6" s="16">
        <v>4</v>
      </c>
      <c r="I6" s="16">
        <v>82</v>
      </c>
      <c r="J6" s="8"/>
      <c r="K6" s="12"/>
      <c r="L6" s="83">
        <f>SUM(I6*2200)</f>
        <v>180400</v>
      </c>
      <c r="M6" s="14"/>
      <c r="N6" s="12"/>
      <c r="O6" s="14"/>
      <c r="P6" s="15">
        <f t="shared" si="0"/>
        <v>328</v>
      </c>
      <c r="Q6" s="15"/>
      <c r="R6" s="15"/>
    </row>
    <row r="7" spans="2:18" x14ac:dyDescent="0.25">
      <c r="G7" s="16" t="s">
        <v>6</v>
      </c>
      <c r="H7" s="16">
        <v>4</v>
      </c>
      <c r="I7" s="16">
        <v>110</v>
      </c>
      <c r="J7" s="8"/>
      <c r="K7" s="12"/>
      <c r="L7" s="83">
        <f t="shared" ref="L7:L10" si="1">SUM(I7*2200)</f>
        <v>242000</v>
      </c>
      <c r="M7" s="14"/>
      <c r="N7" s="12"/>
      <c r="O7" s="14"/>
      <c r="P7" s="15">
        <f t="shared" si="0"/>
        <v>440</v>
      </c>
      <c r="Q7" s="15"/>
      <c r="R7" s="15"/>
    </row>
    <row r="8" spans="2:18" x14ac:dyDescent="0.25">
      <c r="G8" s="16" t="s">
        <v>7</v>
      </c>
      <c r="H8" s="16">
        <v>5</v>
      </c>
      <c r="I8" s="16">
        <v>94</v>
      </c>
      <c r="J8" s="8"/>
      <c r="K8" s="12"/>
      <c r="L8" s="83">
        <f t="shared" si="1"/>
        <v>206800</v>
      </c>
      <c r="M8" s="14"/>
      <c r="N8" s="12"/>
      <c r="O8" s="14"/>
      <c r="P8" s="15">
        <f t="shared" si="0"/>
        <v>470</v>
      </c>
      <c r="Q8" s="15"/>
      <c r="R8" s="15"/>
    </row>
    <row r="9" spans="2:18" x14ac:dyDescent="0.25">
      <c r="G9" s="16" t="s">
        <v>8</v>
      </c>
      <c r="H9" s="16">
        <v>5</v>
      </c>
      <c r="I9" s="16">
        <v>120</v>
      </c>
      <c r="J9" s="8"/>
      <c r="K9" s="12"/>
      <c r="L9" s="83">
        <f t="shared" si="1"/>
        <v>264000</v>
      </c>
      <c r="M9" s="14"/>
      <c r="N9" s="12"/>
      <c r="O9" s="14"/>
      <c r="P9" s="15">
        <f t="shared" si="0"/>
        <v>600</v>
      </c>
      <c r="Q9" s="15"/>
      <c r="R9" s="15"/>
    </row>
    <row r="10" spans="2:18" x14ac:dyDescent="0.25">
      <c r="G10" s="16" t="s">
        <v>9</v>
      </c>
      <c r="H10" s="16">
        <v>2</v>
      </c>
      <c r="I10" s="16">
        <v>135</v>
      </c>
      <c r="J10" s="8"/>
      <c r="K10" s="12"/>
      <c r="L10" s="83">
        <f t="shared" si="1"/>
        <v>297000</v>
      </c>
      <c r="M10" s="14"/>
      <c r="N10" s="12"/>
      <c r="O10" s="14"/>
      <c r="P10" s="15">
        <f t="shared" si="0"/>
        <v>270</v>
      </c>
      <c r="Q10" s="15"/>
      <c r="R10" s="15"/>
    </row>
    <row r="11" spans="2:18" x14ac:dyDescent="0.25">
      <c r="H11" s="3">
        <f>SUM(H3:H10)</f>
        <v>25</v>
      </c>
      <c r="M11" s="27"/>
      <c r="N11" s="19">
        <f>SUM(N3)</f>
        <v>73700</v>
      </c>
      <c r="O11" s="35">
        <f>SUM(O4:O5)</f>
        <v>180264</v>
      </c>
      <c r="P11" s="62">
        <f>SUM(P3:P10)</f>
        <v>2433</v>
      </c>
      <c r="Q11" s="1">
        <f>SUM(P6:P10)</f>
        <v>2108</v>
      </c>
      <c r="R11" s="15"/>
    </row>
    <row r="12" spans="2:18" ht="15.75" x14ac:dyDescent="0.25">
      <c r="G12" s="95"/>
      <c r="H12" s="99"/>
      <c r="I12" s="45"/>
      <c r="J12" s="45"/>
      <c r="K12" s="45"/>
      <c r="M12" s="20"/>
      <c r="N12" s="36" t="s">
        <v>1</v>
      </c>
      <c r="O12" s="33">
        <f>SUM(N11:O11)</f>
        <v>253964</v>
      </c>
      <c r="P12" s="6" t="s">
        <v>141</v>
      </c>
    </row>
    <row r="14" spans="2:18" x14ac:dyDescent="0.25">
      <c r="D14" s="6" t="s">
        <v>61</v>
      </c>
      <c r="E14" s="2" t="s">
        <v>60</v>
      </c>
      <c r="G14" s="2" t="s">
        <v>52</v>
      </c>
    </row>
    <row r="15" spans="2:18" ht="30" customHeight="1" x14ac:dyDescent="0.25">
      <c r="C15" s="6" t="s">
        <v>75</v>
      </c>
      <c r="D15" s="6">
        <f>SUM(30*0.2)</f>
        <v>6</v>
      </c>
      <c r="G15" s="3" t="s">
        <v>0</v>
      </c>
      <c r="H15" s="3" t="s">
        <v>2</v>
      </c>
      <c r="I15" s="3" t="s">
        <v>10</v>
      </c>
      <c r="J15" s="10" t="s">
        <v>34</v>
      </c>
      <c r="K15" s="10" t="s">
        <v>36</v>
      </c>
      <c r="L15" s="82" t="s">
        <v>69</v>
      </c>
      <c r="M15" s="10" t="s">
        <v>27</v>
      </c>
      <c r="N15" s="10" t="s">
        <v>29</v>
      </c>
      <c r="O15" s="10" t="s">
        <v>32</v>
      </c>
      <c r="P15" s="10" t="s">
        <v>163</v>
      </c>
      <c r="Q15" s="54" t="s">
        <v>164</v>
      </c>
      <c r="R15" s="54" t="s">
        <v>165</v>
      </c>
    </row>
    <row r="16" spans="2:18" x14ac:dyDescent="0.25">
      <c r="B16">
        <f>30*0.2</f>
        <v>6</v>
      </c>
      <c r="C16" s="6" t="s">
        <v>44</v>
      </c>
      <c r="D16" s="68">
        <f>B16*0.2</f>
        <v>1.2000000000000002</v>
      </c>
      <c r="E16" s="115">
        <v>1</v>
      </c>
      <c r="G16" s="17" t="s">
        <v>37</v>
      </c>
      <c r="H16" s="17">
        <v>1</v>
      </c>
      <c r="I16" s="17">
        <v>67</v>
      </c>
      <c r="J16" s="18"/>
      <c r="K16" s="80">
        <f>SUM(I16*2200)</f>
        <v>147400</v>
      </c>
      <c r="L16" s="83">
        <f>SUM(I16*2200)</f>
        <v>147400</v>
      </c>
      <c r="M16" s="118">
        <f>SUM(K16*H16)</f>
        <v>147400</v>
      </c>
      <c r="N16" s="81">
        <f>SUM(M16*0.5)</f>
        <v>73700</v>
      </c>
      <c r="O16" s="30"/>
      <c r="P16" s="15">
        <f>SUM(H16*I16)</f>
        <v>67</v>
      </c>
      <c r="Q16" s="15"/>
      <c r="R16" s="15"/>
    </row>
    <row r="17" spans="2:18" x14ac:dyDescent="0.25">
      <c r="B17">
        <f>B16</f>
        <v>6</v>
      </c>
      <c r="C17" s="6" t="s">
        <v>45</v>
      </c>
      <c r="D17" s="68">
        <f>B17*0.8</f>
        <v>4.8000000000000007</v>
      </c>
      <c r="E17" s="115">
        <v>5</v>
      </c>
      <c r="G17" s="17" t="s">
        <v>26</v>
      </c>
      <c r="H17" s="17">
        <v>2</v>
      </c>
      <c r="I17" s="17">
        <v>46</v>
      </c>
      <c r="J17" s="18" t="s">
        <v>28</v>
      </c>
      <c r="K17" s="19">
        <v>95800</v>
      </c>
      <c r="L17" s="83">
        <f>SUM(I17*2200)</f>
        <v>101200</v>
      </c>
      <c r="M17" s="35">
        <f>SUM(K17*H17)</f>
        <v>191600</v>
      </c>
      <c r="N17" s="28"/>
      <c r="O17" s="30">
        <f>SUM(M17*0.37)</f>
        <v>70892</v>
      </c>
      <c r="P17" s="15">
        <f t="shared" ref="P17:P19" si="2">SUM(H17*I17)</f>
        <v>92</v>
      </c>
      <c r="Q17" s="15"/>
      <c r="R17" s="15"/>
    </row>
    <row r="18" spans="2:18" x14ac:dyDescent="0.25">
      <c r="B18"/>
      <c r="C18" t="s">
        <v>47</v>
      </c>
      <c r="D18" s="66">
        <v>0</v>
      </c>
      <c r="E18" s="115">
        <v>0</v>
      </c>
      <c r="G18" s="17" t="s">
        <v>25</v>
      </c>
      <c r="H18" s="17">
        <v>2</v>
      </c>
      <c r="I18" s="17">
        <v>83</v>
      </c>
      <c r="J18" s="18" t="s">
        <v>13</v>
      </c>
      <c r="K18" s="19">
        <v>147800</v>
      </c>
      <c r="L18" s="83">
        <f t="shared" ref="L18:L24" si="3">SUM(I18*2200)</f>
        <v>182600</v>
      </c>
      <c r="M18" s="35">
        <f>SUM(K18*H18)</f>
        <v>295600</v>
      </c>
      <c r="N18" s="28"/>
      <c r="O18" s="30">
        <f>SUM(M18*0.37)</f>
        <v>109372</v>
      </c>
      <c r="P18" s="15">
        <f t="shared" si="2"/>
        <v>166</v>
      </c>
      <c r="Q18" s="15"/>
      <c r="R18" s="15"/>
    </row>
    <row r="19" spans="2:18" x14ac:dyDescent="0.25">
      <c r="G19" s="17" t="s">
        <v>31</v>
      </c>
      <c r="H19" s="18">
        <v>1</v>
      </c>
      <c r="I19" s="18">
        <v>94</v>
      </c>
      <c r="J19" s="21" t="s">
        <v>15</v>
      </c>
      <c r="K19" s="41">
        <v>164700</v>
      </c>
      <c r="L19" s="83">
        <f t="shared" si="3"/>
        <v>206800</v>
      </c>
      <c r="M19" s="43">
        <f>SUM(K19*H19)</f>
        <v>164700</v>
      </c>
      <c r="N19" s="42"/>
      <c r="O19" s="30">
        <f>SUM(M19*0.37)</f>
        <v>60939</v>
      </c>
      <c r="P19" s="15">
        <f t="shared" si="2"/>
        <v>94</v>
      </c>
      <c r="Q19" s="15"/>
      <c r="R19" s="61">
        <f>SUM(P16:P19)</f>
        <v>419</v>
      </c>
    </row>
    <row r="20" spans="2:18" x14ac:dyDescent="0.25">
      <c r="G20" s="16" t="s">
        <v>5</v>
      </c>
      <c r="H20" s="16">
        <v>6</v>
      </c>
      <c r="I20" s="16">
        <v>82</v>
      </c>
      <c r="J20" s="8"/>
      <c r="K20" s="12"/>
      <c r="L20" s="83">
        <f t="shared" si="3"/>
        <v>180400</v>
      </c>
      <c r="M20" s="14"/>
      <c r="N20" s="15"/>
      <c r="O20" s="15"/>
      <c r="P20" s="15">
        <f>SUM(H20*I20)</f>
        <v>492</v>
      </c>
      <c r="Q20" s="15"/>
      <c r="R20" s="15"/>
    </row>
    <row r="21" spans="2:18" x14ac:dyDescent="0.25">
      <c r="G21" s="16" t="s">
        <v>6</v>
      </c>
      <c r="H21" s="16">
        <v>4</v>
      </c>
      <c r="I21" s="16">
        <v>110</v>
      </c>
      <c r="J21" s="8"/>
      <c r="K21" s="12"/>
      <c r="L21" s="83">
        <f t="shared" si="3"/>
        <v>242000</v>
      </c>
      <c r="M21" s="14"/>
      <c r="N21" s="15"/>
      <c r="O21" s="15"/>
      <c r="P21" s="15">
        <f>SUM(H21*I21)</f>
        <v>440</v>
      </c>
      <c r="Q21" s="15"/>
      <c r="R21" s="15"/>
    </row>
    <row r="22" spans="2:18" x14ac:dyDescent="0.25">
      <c r="G22" s="16" t="s">
        <v>7</v>
      </c>
      <c r="H22" s="16">
        <v>6</v>
      </c>
      <c r="I22" s="16">
        <v>94</v>
      </c>
      <c r="J22" s="8"/>
      <c r="K22" s="12"/>
      <c r="L22" s="83">
        <f t="shared" si="3"/>
        <v>206800</v>
      </c>
      <c r="M22" s="14"/>
      <c r="N22" s="15"/>
      <c r="O22" s="15"/>
      <c r="P22" s="15">
        <f>SUM(H22*I22)</f>
        <v>564</v>
      </c>
      <c r="Q22" s="15"/>
      <c r="R22" s="15"/>
    </row>
    <row r="23" spans="2:18" x14ac:dyDescent="0.25">
      <c r="G23" s="16" t="s">
        <v>8</v>
      </c>
      <c r="H23" s="16">
        <v>6</v>
      </c>
      <c r="I23" s="16">
        <v>120</v>
      </c>
      <c r="J23" s="8"/>
      <c r="K23" s="12"/>
      <c r="L23" s="83">
        <f t="shared" si="3"/>
        <v>264000</v>
      </c>
      <c r="M23" s="14"/>
      <c r="N23" s="15"/>
      <c r="O23" s="15"/>
      <c r="P23" s="15">
        <f>SUM(H23*I23)</f>
        <v>720</v>
      </c>
      <c r="Q23" s="15"/>
      <c r="R23" s="15"/>
    </row>
    <row r="24" spans="2:18" x14ac:dyDescent="0.25">
      <c r="G24" s="16" t="s">
        <v>9</v>
      </c>
      <c r="H24" s="16">
        <v>2</v>
      </c>
      <c r="I24" s="16">
        <v>135</v>
      </c>
      <c r="J24" s="8"/>
      <c r="K24" s="12"/>
      <c r="L24" s="83">
        <f t="shared" si="3"/>
        <v>297000</v>
      </c>
      <c r="M24" s="14"/>
      <c r="N24" s="15"/>
      <c r="O24" s="15"/>
      <c r="P24" s="15">
        <f>SUM(H24*I24)</f>
        <v>270</v>
      </c>
      <c r="Q24" s="15"/>
      <c r="R24" s="15"/>
    </row>
    <row r="25" spans="2:18" x14ac:dyDescent="0.25">
      <c r="H25" s="3">
        <f>SUM(H16:H24)</f>
        <v>30</v>
      </c>
      <c r="M25" s="27"/>
      <c r="N25" s="19">
        <f>SUM(N16:N16)</f>
        <v>73700</v>
      </c>
      <c r="O25" s="35">
        <f>SUM(O17:O19)</f>
        <v>241203</v>
      </c>
      <c r="P25" s="62">
        <f>SUM(P16:P24)</f>
        <v>2905</v>
      </c>
      <c r="Q25" s="1">
        <f>SUM(P20:P24)</f>
        <v>2486</v>
      </c>
      <c r="R25" s="15"/>
    </row>
    <row r="26" spans="2:18" ht="15.75" x14ac:dyDescent="0.25">
      <c r="G26" s="95"/>
      <c r="H26" s="99"/>
      <c r="I26" s="45"/>
      <c r="J26" s="45"/>
      <c r="K26" s="45"/>
      <c r="M26" s="20"/>
      <c r="N26" s="36" t="s">
        <v>1</v>
      </c>
      <c r="O26" s="33">
        <f>SUM(N25:O25)</f>
        <v>314903</v>
      </c>
      <c r="P26" s="6" t="s">
        <v>141</v>
      </c>
    </row>
    <row r="28" spans="2:18" x14ac:dyDescent="0.25">
      <c r="D28" s="6" t="s">
        <v>61</v>
      </c>
      <c r="E28" s="2" t="s">
        <v>60</v>
      </c>
      <c r="G28" s="2" t="s">
        <v>53</v>
      </c>
    </row>
    <row r="29" spans="2:18" ht="30" customHeight="1" x14ac:dyDescent="0.25">
      <c r="C29" s="6" t="s">
        <v>75</v>
      </c>
      <c r="D29" s="6">
        <f>SUM(35*0.2)</f>
        <v>7</v>
      </c>
      <c r="G29" s="3" t="s">
        <v>0</v>
      </c>
      <c r="H29" s="3" t="s">
        <v>2</v>
      </c>
      <c r="I29" s="3" t="s">
        <v>10</v>
      </c>
      <c r="J29" s="10" t="s">
        <v>34</v>
      </c>
      <c r="K29" s="10" t="s">
        <v>36</v>
      </c>
      <c r="L29" s="82" t="s">
        <v>69</v>
      </c>
      <c r="M29" s="10" t="s">
        <v>27</v>
      </c>
      <c r="N29" s="10" t="s">
        <v>29</v>
      </c>
      <c r="O29" s="10" t="s">
        <v>32</v>
      </c>
      <c r="P29" s="10" t="s">
        <v>163</v>
      </c>
      <c r="Q29" s="54" t="s">
        <v>164</v>
      </c>
      <c r="R29" s="54" t="s">
        <v>165</v>
      </c>
    </row>
    <row r="30" spans="2:18" x14ac:dyDescent="0.25">
      <c r="B30">
        <f>35*0.2</f>
        <v>7</v>
      </c>
      <c r="C30" s="6" t="s">
        <v>44</v>
      </c>
      <c r="D30" s="68">
        <f>B30*0.2</f>
        <v>1.4000000000000001</v>
      </c>
      <c r="E30" s="115">
        <v>1</v>
      </c>
      <c r="G30" s="17" t="s">
        <v>38</v>
      </c>
      <c r="H30" s="17">
        <v>1</v>
      </c>
      <c r="I30" s="17">
        <v>78</v>
      </c>
      <c r="J30" s="18"/>
      <c r="K30" s="80">
        <f>SUM(I30*2200)</f>
        <v>171600</v>
      </c>
      <c r="L30" s="83">
        <f>SUM(I30*2200)</f>
        <v>171600</v>
      </c>
      <c r="M30" s="118">
        <f>SUM(K30*H30)</f>
        <v>171600</v>
      </c>
      <c r="N30" s="81">
        <f>SUM(M30*0.5)</f>
        <v>85800</v>
      </c>
      <c r="O30" s="30"/>
      <c r="P30" s="15">
        <f t="shared" ref="P30:P37" si="4">SUM(H30*I30)</f>
        <v>78</v>
      </c>
      <c r="Q30" s="15"/>
      <c r="R30" s="15"/>
    </row>
    <row r="31" spans="2:18" x14ac:dyDescent="0.25">
      <c r="B31">
        <f>B30</f>
        <v>7</v>
      </c>
      <c r="C31" s="6" t="s">
        <v>45</v>
      </c>
      <c r="D31" s="68">
        <f>B31*0.8</f>
        <v>5.6000000000000005</v>
      </c>
      <c r="E31" s="115">
        <v>6</v>
      </c>
      <c r="G31" s="17" t="s">
        <v>26</v>
      </c>
      <c r="H31" s="17">
        <v>4</v>
      </c>
      <c r="I31" s="17">
        <v>46</v>
      </c>
      <c r="J31" s="18" t="s">
        <v>28</v>
      </c>
      <c r="K31" s="19">
        <v>95800</v>
      </c>
      <c r="L31" s="83">
        <f t="shared" ref="L31:L37" si="5">SUM(I31*2200)</f>
        <v>101200</v>
      </c>
      <c r="M31" s="35">
        <f>SUM(K31*H31)</f>
        <v>383200</v>
      </c>
      <c r="N31" s="28"/>
      <c r="O31" s="30">
        <f>SUM(M31*0.37)</f>
        <v>141784</v>
      </c>
      <c r="P31" s="15">
        <f t="shared" si="4"/>
        <v>184</v>
      </c>
      <c r="Q31" s="15"/>
      <c r="R31" s="15"/>
    </row>
    <row r="32" spans="2:18" x14ac:dyDescent="0.25">
      <c r="B32"/>
      <c r="C32" t="s">
        <v>47</v>
      </c>
      <c r="D32" s="66">
        <v>0</v>
      </c>
      <c r="E32" s="115">
        <v>0</v>
      </c>
      <c r="G32" s="17" t="s">
        <v>25</v>
      </c>
      <c r="H32" s="17">
        <v>2</v>
      </c>
      <c r="I32" s="17">
        <v>83</v>
      </c>
      <c r="J32" s="18" t="s">
        <v>13</v>
      </c>
      <c r="K32" s="19">
        <v>147800</v>
      </c>
      <c r="L32" s="83">
        <f t="shared" si="5"/>
        <v>182600</v>
      </c>
      <c r="M32" s="35">
        <f>SUM(K32*H32)</f>
        <v>295600</v>
      </c>
      <c r="N32" s="28"/>
      <c r="O32" s="30">
        <f>SUM(M32*0.37)</f>
        <v>109372</v>
      </c>
      <c r="P32" s="15">
        <f t="shared" si="4"/>
        <v>166</v>
      </c>
      <c r="Q32" s="15"/>
      <c r="R32" s="61">
        <f>SUM(P30:P32)</f>
        <v>428</v>
      </c>
    </row>
    <row r="33" spans="2:18" x14ac:dyDescent="0.25">
      <c r="G33" s="16" t="s">
        <v>4</v>
      </c>
      <c r="H33" s="16">
        <v>2</v>
      </c>
      <c r="I33" s="16">
        <v>78</v>
      </c>
      <c r="J33" s="8"/>
      <c r="K33" s="12"/>
      <c r="L33" s="83">
        <f t="shared" si="5"/>
        <v>171600</v>
      </c>
      <c r="M33" s="14"/>
      <c r="N33" s="15"/>
      <c r="O33" s="15"/>
      <c r="P33" s="15">
        <f t="shared" si="4"/>
        <v>156</v>
      </c>
      <c r="Q33" s="15"/>
      <c r="R33" s="15"/>
    </row>
    <row r="34" spans="2:18" x14ac:dyDescent="0.25">
      <c r="G34" s="16" t="s">
        <v>5</v>
      </c>
      <c r="H34" s="16">
        <v>10</v>
      </c>
      <c r="I34" s="16">
        <v>82</v>
      </c>
      <c r="J34" s="8"/>
      <c r="K34" s="12"/>
      <c r="L34" s="83">
        <f t="shared" si="5"/>
        <v>180400</v>
      </c>
      <c r="M34" s="14"/>
      <c r="N34" s="15"/>
      <c r="O34" s="15"/>
      <c r="P34" s="15">
        <f t="shared" si="4"/>
        <v>820</v>
      </c>
      <c r="Q34" s="15"/>
      <c r="R34" s="15"/>
    </row>
    <row r="35" spans="2:18" x14ac:dyDescent="0.25">
      <c r="G35" s="16" t="s">
        <v>6</v>
      </c>
      <c r="H35" s="16">
        <v>4</v>
      </c>
      <c r="I35" s="16">
        <v>110</v>
      </c>
      <c r="J35" s="8"/>
      <c r="K35" s="12"/>
      <c r="L35" s="83">
        <f t="shared" si="5"/>
        <v>242000</v>
      </c>
      <c r="M35" s="14"/>
      <c r="N35" s="15"/>
      <c r="O35" s="15"/>
      <c r="P35" s="15">
        <f t="shared" si="4"/>
        <v>440</v>
      </c>
      <c r="Q35" s="15"/>
      <c r="R35" s="15"/>
    </row>
    <row r="36" spans="2:18" x14ac:dyDescent="0.25">
      <c r="G36" s="16" t="s">
        <v>7</v>
      </c>
      <c r="H36" s="16">
        <v>6</v>
      </c>
      <c r="I36" s="16">
        <v>94</v>
      </c>
      <c r="J36" s="8"/>
      <c r="K36" s="12"/>
      <c r="L36" s="83">
        <f t="shared" si="5"/>
        <v>206800</v>
      </c>
      <c r="M36" s="14"/>
      <c r="N36" s="15"/>
      <c r="O36" s="15"/>
      <c r="P36" s="15">
        <f t="shared" si="4"/>
        <v>564</v>
      </c>
      <c r="Q36" s="15"/>
      <c r="R36" s="15"/>
    </row>
    <row r="37" spans="2:18" x14ac:dyDescent="0.25">
      <c r="G37" s="16" t="s">
        <v>8</v>
      </c>
      <c r="H37" s="16">
        <v>6</v>
      </c>
      <c r="I37" s="16">
        <v>120</v>
      </c>
      <c r="J37" s="8"/>
      <c r="K37" s="12"/>
      <c r="L37" s="83">
        <f t="shared" si="5"/>
        <v>264000</v>
      </c>
      <c r="M37" s="14"/>
      <c r="N37" s="15"/>
      <c r="O37" s="15"/>
      <c r="P37" s="15">
        <f t="shared" si="4"/>
        <v>720</v>
      </c>
      <c r="Q37" s="15"/>
      <c r="R37" s="15"/>
    </row>
    <row r="38" spans="2:18" x14ac:dyDescent="0.25">
      <c r="H38" s="3">
        <f>SUM(H30:H37)</f>
        <v>35</v>
      </c>
      <c r="M38" s="27"/>
      <c r="N38" s="19">
        <f>SUM(N30:N30)</f>
        <v>85800</v>
      </c>
      <c r="O38" s="35">
        <f>SUM(O31:O32)</f>
        <v>251156</v>
      </c>
      <c r="P38" s="62">
        <f>SUM(P30:P37)</f>
        <v>3128</v>
      </c>
      <c r="Q38" s="1">
        <f>SUM(P33:P37)</f>
        <v>2700</v>
      </c>
      <c r="R38" s="15"/>
    </row>
    <row r="39" spans="2:18" ht="15.75" x14ac:dyDescent="0.25">
      <c r="G39" s="95"/>
      <c r="H39" s="99"/>
      <c r="I39" s="45"/>
      <c r="J39" s="45"/>
      <c r="K39" s="45"/>
      <c r="M39" s="20"/>
      <c r="N39" s="36" t="s">
        <v>1</v>
      </c>
      <c r="O39" s="33">
        <f>SUM(N38:O38)</f>
        <v>336956</v>
      </c>
      <c r="P39" s="6" t="s">
        <v>141</v>
      </c>
    </row>
    <row r="41" spans="2:18" x14ac:dyDescent="0.25">
      <c r="D41" s="6" t="s">
        <v>61</v>
      </c>
      <c r="E41" s="2" t="s">
        <v>60</v>
      </c>
      <c r="G41" s="2" t="s">
        <v>54</v>
      </c>
    </row>
    <row r="42" spans="2:18" ht="30" customHeight="1" x14ac:dyDescent="0.25">
      <c r="C42" s="6" t="s">
        <v>75</v>
      </c>
      <c r="D42" s="6">
        <f>SUM(40*0.2)</f>
        <v>8</v>
      </c>
      <c r="G42" s="3" t="s">
        <v>0</v>
      </c>
      <c r="H42" s="3" t="s">
        <v>2</v>
      </c>
      <c r="I42" s="3" t="s">
        <v>10</v>
      </c>
      <c r="J42" s="10" t="s">
        <v>34</v>
      </c>
      <c r="K42" s="10" t="s">
        <v>36</v>
      </c>
      <c r="L42" s="82" t="s">
        <v>69</v>
      </c>
      <c r="M42" s="10" t="s">
        <v>27</v>
      </c>
      <c r="N42" s="10" t="s">
        <v>29</v>
      </c>
      <c r="O42" s="10" t="s">
        <v>32</v>
      </c>
      <c r="P42" s="10" t="s">
        <v>163</v>
      </c>
      <c r="Q42" s="54" t="s">
        <v>164</v>
      </c>
      <c r="R42" s="54" t="s">
        <v>165</v>
      </c>
    </row>
    <row r="43" spans="2:18" x14ac:dyDescent="0.25">
      <c r="B43">
        <f>40*0.2</f>
        <v>8</v>
      </c>
      <c r="C43" s="6" t="s">
        <v>44</v>
      </c>
      <c r="D43" s="68">
        <f>B43*0.2</f>
        <v>1.6</v>
      </c>
      <c r="E43" s="115">
        <v>2</v>
      </c>
      <c r="G43" s="17" t="s">
        <v>37</v>
      </c>
      <c r="H43" s="17">
        <v>1</v>
      </c>
      <c r="I43" s="17">
        <v>67</v>
      </c>
      <c r="J43" s="18"/>
      <c r="K43" s="80">
        <f>SUM(I43*2200)</f>
        <v>147400</v>
      </c>
      <c r="L43" s="83">
        <f>SUM(I43*2200)</f>
        <v>147400</v>
      </c>
      <c r="M43" s="118">
        <f>SUM(K43*H43)</f>
        <v>147400</v>
      </c>
      <c r="N43" s="81">
        <f>SUM(M43*0.5)</f>
        <v>73700</v>
      </c>
      <c r="O43" s="30"/>
      <c r="P43" s="15">
        <f t="shared" ref="P43:P46" si="6">SUM(H43*I43)</f>
        <v>67</v>
      </c>
      <c r="Q43" s="15"/>
      <c r="R43" s="15"/>
    </row>
    <row r="44" spans="2:18" x14ac:dyDescent="0.25">
      <c r="B44">
        <f>B43</f>
        <v>8</v>
      </c>
      <c r="C44" s="6" t="s">
        <v>45</v>
      </c>
      <c r="D44" s="68">
        <f>B44*0.8</f>
        <v>6.4</v>
      </c>
      <c r="E44" s="115">
        <v>6</v>
      </c>
      <c r="G44" s="17" t="s">
        <v>38</v>
      </c>
      <c r="H44" s="17">
        <v>1</v>
      </c>
      <c r="I44" s="17">
        <v>78</v>
      </c>
      <c r="J44" s="18"/>
      <c r="K44" s="80">
        <f>SUM(I44*2200)</f>
        <v>171600</v>
      </c>
      <c r="L44" s="83">
        <f t="shared" ref="L44:L52" si="7">SUM(I44*2200)</f>
        <v>171600</v>
      </c>
      <c r="M44" s="118">
        <f>SUM(K44*H44)</f>
        <v>171600</v>
      </c>
      <c r="N44" s="81">
        <f>SUM(M44*0.5)</f>
        <v>85800</v>
      </c>
      <c r="O44" s="30"/>
      <c r="P44" s="15">
        <f t="shared" si="6"/>
        <v>78</v>
      </c>
      <c r="Q44" s="15"/>
      <c r="R44" s="15"/>
    </row>
    <row r="45" spans="2:18" x14ac:dyDescent="0.25">
      <c r="B45"/>
      <c r="C45" t="s">
        <v>47</v>
      </c>
      <c r="D45" s="66">
        <v>0</v>
      </c>
      <c r="E45" s="115">
        <v>0</v>
      </c>
      <c r="G45" s="17" t="s">
        <v>26</v>
      </c>
      <c r="H45" s="17">
        <v>4</v>
      </c>
      <c r="I45" s="17">
        <v>46</v>
      </c>
      <c r="J45" s="18" t="s">
        <v>28</v>
      </c>
      <c r="K45" s="19">
        <v>95800</v>
      </c>
      <c r="L45" s="83">
        <f t="shared" si="7"/>
        <v>101200</v>
      </c>
      <c r="M45" s="35">
        <f>SUM(K45*H45)</f>
        <v>383200</v>
      </c>
      <c r="N45" s="28"/>
      <c r="O45" s="30">
        <f>SUM(M45*0.37)</f>
        <v>141784</v>
      </c>
      <c r="P45" s="15">
        <f t="shared" si="6"/>
        <v>184</v>
      </c>
      <c r="Q45" s="15"/>
      <c r="R45" s="15"/>
    </row>
    <row r="46" spans="2:18" x14ac:dyDescent="0.25">
      <c r="G46" s="17" t="s">
        <v>25</v>
      </c>
      <c r="H46" s="17">
        <v>2</v>
      </c>
      <c r="I46" s="17">
        <v>83</v>
      </c>
      <c r="J46" s="18" t="s">
        <v>13</v>
      </c>
      <c r="K46" s="19">
        <v>147800</v>
      </c>
      <c r="L46" s="83">
        <f t="shared" si="7"/>
        <v>182600</v>
      </c>
      <c r="M46" s="35">
        <f>SUM(K46*H46)</f>
        <v>295600</v>
      </c>
      <c r="N46" s="28"/>
      <c r="O46" s="30">
        <f>SUM(M46*0.37)</f>
        <v>109372</v>
      </c>
      <c r="P46" s="15">
        <f t="shared" si="6"/>
        <v>166</v>
      </c>
      <c r="Q46" s="15"/>
      <c r="R46" s="61">
        <f>SUM(P43:P46)</f>
        <v>495</v>
      </c>
    </row>
    <row r="47" spans="2:18" x14ac:dyDescent="0.25">
      <c r="G47" s="16" t="s">
        <v>4</v>
      </c>
      <c r="H47" s="16">
        <v>6</v>
      </c>
      <c r="I47" s="16">
        <v>78</v>
      </c>
      <c r="J47" s="8"/>
      <c r="K47" s="12"/>
      <c r="L47" s="83">
        <f t="shared" si="7"/>
        <v>171600</v>
      </c>
      <c r="M47" s="14"/>
      <c r="N47" s="15"/>
      <c r="O47" s="15"/>
      <c r="P47" s="15">
        <f t="shared" ref="P47:P52" si="8">SUM(H47*I47)</f>
        <v>468</v>
      </c>
      <c r="Q47" s="15"/>
      <c r="R47" s="15"/>
    </row>
    <row r="48" spans="2:18" x14ac:dyDescent="0.25">
      <c r="G48" s="16" t="s">
        <v>18</v>
      </c>
      <c r="H48" s="16">
        <v>2</v>
      </c>
      <c r="I48" s="16">
        <v>110</v>
      </c>
      <c r="J48" s="8"/>
      <c r="K48" s="12"/>
      <c r="L48" s="83">
        <f t="shared" si="7"/>
        <v>242000</v>
      </c>
      <c r="M48" s="14"/>
      <c r="N48" s="15"/>
      <c r="O48" s="15"/>
      <c r="P48" s="15">
        <f t="shared" si="8"/>
        <v>220</v>
      </c>
      <c r="Q48" s="15"/>
      <c r="R48" s="15"/>
    </row>
    <row r="49" spans="7:18" x14ac:dyDescent="0.25">
      <c r="G49" s="16" t="s">
        <v>5</v>
      </c>
      <c r="H49" s="16">
        <v>6</v>
      </c>
      <c r="I49" s="16">
        <v>82</v>
      </c>
      <c r="J49" s="8"/>
      <c r="K49" s="12"/>
      <c r="L49" s="83">
        <f t="shared" si="7"/>
        <v>180400</v>
      </c>
      <c r="M49" s="14"/>
      <c r="N49" s="15"/>
      <c r="O49" s="15"/>
      <c r="P49" s="15">
        <f t="shared" si="8"/>
        <v>492</v>
      </c>
      <c r="Q49" s="15"/>
      <c r="R49" s="15"/>
    </row>
    <row r="50" spans="7:18" x14ac:dyDescent="0.25">
      <c r="G50" s="16" t="s">
        <v>6</v>
      </c>
      <c r="H50" s="16">
        <v>4</v>
      </c>
      <c r="I50" s="16">
        <v>110</v>
      </c>
      <c r="J50" s="8"/>
      <c r="K50" s="12"/>
      <c r="L50" s="83">
        <f t="shared" si="7"/>
        <v>242000</v>
      </c>
      <c r="M50" s="14"/>
      <c r="N50" s="15"/>
      <c r="O50" s="15"/>
      <c r="P50" s="15">
        <f t="shared" si="8"/>
        <v>440</v>
      </c>
      <c r="Q50" s="15"/>
      <c r="R50" s="15"/>
    </row>
    <row r="51" spans="7:18" x14ac:dyDescent="0.25">
      <c r="G51" s="16" t="s">
        <v>7</v>
      </c>
      <c r="H51" s="16">
        <v>8</v>
      </c>
      <c r="I51" s="16">
        <v>94</v>
      </c>
      <c r="J51" s="8"/>
      <c r="K51" s="12"/>
      <c r="L51" s="83">
        <f t="shared" si="7"/>
        <v>206800</v>
      </c>
      <c r="M51" s="14"/>
      <c r="N51" s="15"/>
      <c r="O51" s="15"/>
      <c r="P51" s="15">
        <f t="shared" si="8"/>
        <v>752</v>
      </c>
      <c r="Q51" s="15"/>
      <c r="R51" s="15"/>
    </row>
    <row r="52" spans="7:18" x14ac:dyDescent="0.25">
      <c r="G52" s="16" t="s">
        <v>8</v>
      </c>
      <c r="H52" s="16">
        <v>6</v>
      </c>
      <c r="I52" s="16">
        <v>120</v>
      </c>
      <c r="J52" s="8"/>
      <c r="K52" s="12"/>
      <c r="L52" s="83">
        <f t="shared" si="7"/>
        <v>264000</v>
      </c>
      <c r="M52" s="14"/>
      <c r="N52" s="15"/>
      <c r="O52" s="15"/>
      <c r="P52" s="15">
        <f t="shared" si="8"/>
        <v>720</v>
      </c>
      <c r="Q52" s="15"/>
      <c r="R52" s="15"/>
    </row>
    <row r="53" spans="7:18" x14ac:dyDescent="0.25">
      <c r="H53" s="3">
        <f>SUM(H43:H52)</f>
        <v>40</v>
      </c>
      <c r="M53" s="27"/>
      <c r="N53" s="19">
        <f>SUM(N43:N44)</f>
        <v>159500</v>
      </c>
      <c r="O53" s="35">
        <f>SUM(O45:O46)</f>
        <v>251156</v>
      </c>
      <c r="P53" s="62">
        <f>SUM(P43:P52)</f>
        <v>3587</v>
      </c>
      <c r="Q53" s="1">
        <f>SUM(P47:P52)</f>
        <v>3092</v>
      </c>
      <c r="R53" s="15"/>
    </row>
    <row r="54" spans="7:18" ht="15.75" x14ac:dyDescent="0.25">
      <c r="G54" s="95"/>
      <c r="H54" s="99"/>
      <c r="I54" s="45"/>
      <c r="J54" s="45"/>
      <c r="K54" s="45"/>
      <c r="N54" s="36" t="s">
        <v>1</v>
      </c>
      <c r="O54" s="33">
        <f>SUM(N53:O53)</f>
        <v>410656</v>
      </c>
      <c r="P54" s="6" t="s">
        <v>141</v>
      </c>
    </row>
    <row r="55" spans="7:18" x14ac:dyDescent="0.25">
      <c r="G55" s="95"/>
      <c r="H55" s="99"/>
      <c r="I55" s="45"/>
      <c r="J55" s="45"/>
      <c r="K55" s="45"/>
    </row>
    <row r="56" spans="7:18" ht="15" customHeight="1" x14ac:dyDescent="0.25">
      <c r="G56" s="100"/>
      <c r="H56" s="96"/>
      <c r="I56" s="45"/>
      <c r="J56" s="45"/>
      <c r="K56" s="45"/>
    </row>
    <row r="57" spans="7:18" x14ac:dyDescent="0.25">
      <c r="G57" s="45"/>
      <c r="H57" s="45"/>
      <c r="I57" s="45"/>
      <c r="J57" s="45"/>
      <c r="K57" s="45"/>
    </row>
  </sheetData>
  <pageMargins left="0.25" right="0.25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3"/>
  <sheetViews>
    <sheetView topLeftCell="E1" zoomScaleNormal="100" workbookViewId="0">
      <selection activeCell="S21" sqref="S21"/>
    </sheetView>
  </sheetViews>
  <sheetFormatPr defaultRowHeight="15" x14ac:dyDescent="0.25"/>
  <cols>
    <col min="1" max="1" width="5" style="6" bestFit="1" customWidth="1"/>
    <col min="2" max="2" width="21.5703125" style="6" bestFit="1" customWidth="1"/>
    <col min="3" max="3" width="6.5703125" style="6" bestFit="1" customWidth="1"/>
    <col min="4" max="4" width="7" style="6" bestFit="1" customWidth="1"/>
    <col min="5" max="5" width="5.28515625" style="6" customWidth="1"/>
    <col min="6" max="6" width="27.7109375" style="6" customWidth="1"/>
    <col min="7" max="7" width="8.42578125" style="6" customWidth="1"/>
    <col min="8" max="8" width="6.5703125" style="6" customWidth="1"/>
    <col min="9" max="9" width="6.85546875" style="6" customWidth="1"/>
    <col min="10" max="10" width="9.140625" style="6"/>
    <col min="11" max="11" width="9.140625" style="84"/>
    <col min="12" max="12" width="9.140625" style="6"/>
    <col min="13" max="13" width="10.7109375" style="6" customWidth="1"/>
    <col min="14" max="14" width="10.42578125" style="6" customWidth="1"/>
    <col min="15" max="15" width="6.28515625" style="6" customWidth="1"/>
    <col min="16" max="16" width="8.140625" style="6" customWidth="1"/>
    <col min="17" max="17" width="7" style="6" customWidth="1"/>
    <col min="18" max="18" width="5.140625" customWidth="1"/>
    <col min="19" max="19" width="17.5703125" style="6" customWidth="1"/>
    <col min="20" max="20" width="6.140625" style="6" customWidth="1"/>
    <col min="21" max="21" width="4.5703125" style="6" bestFit="1" customWidth="1"/>
    <col min="22" max="22" width="9.28515625" style="6" bestFit="1" customWidth="1"/>
    <col min="23" max="23" width="4.5703125" style="6" bestFit="1" customWidth="1"/>
    <col min="24" max="24" width="8.5703125" style="6" bestFit="1" customWidth="1"/>
    <col min="25" max="25" width="10" style="6" bestFit="1" customWidth="1"/>
    <col min="26" max="26" width="10.140625" style="6" bestFit="1" customWidth="1"/>
    <col min="27" max="27" width="15.7109375" style="6" bestFit="1" customWidth="1"/>
    <col min="28" max="28" width="11.42578125" style="6" customWidth="1"/>
    <col min="29" max="16384" width="9.140625" style="6"/>
  </cols>
  <sheetData>
    <row r="1" spans="1:29" x14ac:dyDescent="0.25">
      <c r="C1" s="6" t="s">
        <v>61</v>
      </c>
      <c r="D1" s="2" t="s">
        <v>60</v>
      </c>
      <c r="F1" s="2" t="s">
        <v>55</v>
      </c>
      <c r="O1" s="56"/>
      <c r="P1" s="55"/>
      <c r="S1" s="2" t="s">
        <v>104</v>
      </c>
    </row>
    <row r="2" spans="1:29" ht="32.25" x14ac:dyDescent="0.25">
      <c r="B2" s="6" t="s">
        <v>77</v>
      </c>
      <c r="C2" s="6">
        <f>SUM(25*0.3)</f>
        <v>7.5</v>
      </c>
      <c r="F2" s="3" t="s">
        <v>0</v>
      </c>
      <c r="G2" s="3" t="s">
        <v>2</v>
      </c>
      <c r="H2" s="3" t="s">
        <v>10</v>
      </c>
      <c r="I2" s="10" t="s">
        <v>34</v>
      </c>
      <c r="J2" s="10" t="s">
        <v>67</v>
      </c>
      <c r="K2" s="82" t="s">
        <v>69</v>
      </c>
      <c r="L2" s="10" t="s">
        <v>68</v>
      </c>
      <c r="M2" s="10" t="s">
        <v>29</v>
      </c>
      <c r="N2" s="10" t="s">
        <v>32</v>
      </c>
      <c r="O2" s="10" t="s">
        <v>163</v>
      </c>
      <c r="P2" s="54" t="s">
        <v>164</v>
      </c>
      <c r="Q2" s="54" t="s">
        <v>165</v>
      </c>
      <c r="S2" s="3" t="s">
        <v>0</v>
      </c>
      <c r="T2" s="3" t="s">
        <v>2</v>
      </c>
      <c r="U2" s="3" t="s">
        <v>10</v>
      </c>
      <c r="V2" s="7" t="s">
        <v>11</v>
      </c>
      <c r="W2" s="7" t="s">
        <v>10</v>
      </c>
      <c r="X2" s="7" t="s">
        <v>21</v>
      </c>
      <c r="Y2" s="7" t="s">
        <v>162</v>
      </c>
      <c r="Z2" s="7" t="s">
        <v>12</v>
      </c>
      <c r="AA2" s="7" t="s">
        <v>122</v>
      </c>
      <c r="AB2" s="10" t="s">
        <v>140</v>
      </c>
    </row>
    <row r="3" spans="1:29" x14ac:dyDescent="0.25">
      <c r="A3">
        <f>25*0.3</f>
        <v>7.5</v>
      </c>
      <c r="B3" s="6" t="s">
        <v>44</v>
      </c>
      <c r="C3" s="68">
        <f>A3*0.2</f>
        <v>1.5</v>
      </c>
      <c r="D3" s="2">
        <v>1</v>
      </c>
      <c r="F3" s="17" t="s">
        <v>37</v>
      </c>
      <c r="G3" s="17">
        <v>1</v>
      </c>
      <c r="H3" s="17">
        <v>67</v>
      </c>
      <c r="I3" s="18"/>
      <c r="J3" s="80">
        <f>SUM(H3*2300)</f>
        <v>154100</v>
      </c>
      <c r="K3" s="83">
        <f>SUM(H3*2300)</f>
        <v>154100</v>
      </c>
      <c r="L3" s="80">
        <f>SUM(J3*G3)</f>
        <v>154100</v>
      </c>
      <c r="M3" s="81">
        <f>SUM(L3*0.5)</f>
        <v>77050</v>
      </c>
      <c r="N3" s="29"/>
      <c r="O3" s="57">
        <f t="shared" ref="O3:O10" si="0">SUM(G3*H3)</f>
        <v>67</v>
      </c>
      <c r="P3" s="54"/>
      <c r="Q3" s="15"/>
      <c r="S3" s="16" t="s">
        <v>3</v>
      </c>
      <c r="T3" s="16">
        <v>1</v>
      </c>
      <c r="U3" s="16">
        <v>67</v>
      </c>
      <c r="V3" s="8" t="s">
        <v>13</v>
      </c>
      <c r="W3" s="8">
        <v>83</v>
      </c>
      <c r="X3" s="12">
        <v>161600</v>
      </c>
      <c r="Y3" s="13">
        <f t="shared" ref="Y3" si="1">SUM(X3/W3)</f>
        <v>1946.9879518072289</v>
      </c>
      <c r="Z3" s="12">
        <f t="shared" ref="Z3:Z4" si="2">SUM((T3*U3)*Y3)</f>
        <v>130448.19277108433</v>
      </c>
      <c r="AA3" s="15"/>
      <c r="AB3" s="15"/>
    </row>
    <row r="4" spans="1:29" x14ac:dyDescent="0.25">
      <c r="A4">
        <f>A3</f>
        <v>7.5</v>
      </c>
      <c r="B4" s="6" t="s">
        <v>45</v>
      </c>
      <c r="C4" s="68">
        <f>A4*0.8</f>
        <v>6</v>
      </c>
      <c r="D4" s="2">
        <v>6</v>
      </c>
      <c r="F4" s="17" t="s">
        <v>26</v>
      </c>
      <c r="G4" s="17">
        <v>4</v>
      </c>
      <c r="H4" s="17">
        <v>46</v>
      </c>
      <c r="I4" s="18" t="s">
        <v>28</v>
      </c>
      <c r="J4" s="19">
        <v>101900</v>
      </c>
      <c r="K4" s="83">
        <f t="shared" ref="K4:K10" si="3">SUM(H4*2300)</f>
        <v>105800</v>
      </c>
      <c r="L4" s="19">
        <f>SUM(J4*G4)</f>
        <v>407600</v>
      </c>
      <c r="M4" s="28"/>
      <c r="N4" s="30">
        <f>SUM(L4*0.37)</f>
        <v>150812</v>
      </c>
      <c r="O4" s="57">
        <f t="shared" si="0"/>
        <v>184</v>
      </c>
      <c r="P4" s="54"/>
      <c r="Q4" s="15"/>
      <c r="S4" s="16" t="s">
        <v>63</v>
      </c>
      <c r="T4" s="16">
        <v>4</v>
      </c>
      <c r="U4" s="16">
        <v>46</v>
      </c>
      <c r="V4" s="74" t="s">
        <v>28</v>
      </c>
      <c r="W4" s="91">
        <v>46</v>
      </c>
      <c r="X4" s="94">
        <v>101900</v>
      </c>
      <c r="Y4" s="97">
        <f t="shared" ref="Y4" si="4">SUM(X4/W4)</f>
        <v>2215.217391304348</v>
      </c>
      <c r="Z4" s="92">
        <f t="shared" si="2"/>
        <v>407600</v>
      </c>
      <c r="AA4" s="15"/>
      <c r="AB4" s="15"/>
    </row>
    <row r="5" spans="1:29" x14ac:dyDescent="0.25">
      <c r="A5"/>
      <c r="B5" t="s">
        <v>47</v>
      </c>
      <c r="C5" s="67">
        <v>0.5</v>
      </c>
      <c r="D5" s="116">
        <v>0.5</v>
      </c>
      <c r="F5" s="17" t="s">
        <v>25</v>
      </c>
      <c r="G5" s="17">
        <v>2</v>
      </c>
      <c r="H5" s="17">
        <v>83</v>
      </c>
      <c r="I5" s="18" t="s">
        <v>13</v>
      </c>
      <c r="J5" s="19">
        <v>161600</v>
      </c>
      <c r="K5" s="83">
        <f t="shared" si="3"/>
        <v>190900</v>
      </c>
      <c r="L5" s="19">
        <f>SUM(J5*G5)</f>
        <v>323200</v>
      </c>
      <c r="M5" s="28"/>
      <c r="N5" s="30">
        <f>SUM(L5*0.37)</f>
        <v>119584</v>
      </c>
      <c r="O5" s="57">
        <f t="shared" si="0"/>
        <v>166</v>
      </c>
      <c r="P5" s="54"/>
      <c r="Q5" s="60">
        <f>SUM(O3:O5)</f>
        <v>417</v>
      </c>
      <c r="S5" s="16" t="s">
        <v>3</v>
      </c>
      <c r="T5" s="16">
        <v>2</v>
      </c>
      <c r="U5" s="16">
        <v>83</v>
      </c>
      <c r="V5" s="8" t="s">
        <v>13</v>
      </c>
      <c r="W5" s="8">
        <v>83</v>
      </c>
      <c r="X5" s="12">
        <v>161600</v>
      </c>
      <c r="Y5" s="13">
        <f t="shared" ref="Y5:Y10" si="5">SUM(X5/W5)</f>
        <v>1946.9879518072289</v>
      </c>
      <c r="Z5" s="12">
        <f t="shared" ref="Z5:Z10" si="6">SUM((T5*U5)*Y5)</f>
        <v>323200</v>
      </c>
      <c r="AA5" s="15"/>
      <c r="AB5" s="15"/>
    </row>
    <row r="6" spans="1:29" x14ac:dyDescent="0.25">
      <c r="F6" s="16" t="s">
        <v>5</v>
      </c>
      <c r="G6" s="16">
        <v>4</v>
      </c>
      <c r="H6" s="16">
        <v>82</v>
      </c>
      <c r="I6" s="8"/>
      <c r="J6" s="80"/>
      <c r="K6" s="83">
        <f t="shared" si="3"/>
        <v>188600</v>
      </c>
      <c r="L6" s="12"/>
      <c r="M6" s="18"/>
      <c r="N6" s="29"/>
      <c r="O6" s="57">
        <f t="shared" si="0"/>
        <v>328</v>
      </c>
      <c r="P6" s="54"/>
      <c r="Q6" s="15"/>
      <c r="S6" s="16" t="s">
        <v>5</v>
      </c>
      <c r="T6" s="16">
        <v>4</v>
      </c>
      <c r="U6" s="16">
        <v>82</v>
      </c>
      <c r="V6" s="8" t="s">
        <v>14</v>
      </c>
      <c r="W6" s="8">
        <v>88</v>
      </c>
      <c r="X6" s="12">
        <v>168000</v>
      </c>
      <c r="Y6" s="13">
        <f t="shared" si="5"/>
        <v>1909.090909090909</v>
      </c>
      <c r="Z6" s="12">
        <f t="shared" si="6"/>
        <v>626181.81818181812</v>
      </c>
      <c r="AA6" s="15"/>
      <c r="AB6" s="15"/>
    </row>
    <row r="7" spans="1:29" x14ac:dyDescent="0.25">
      <c r="F7" s="16" t="s">
        <v>6</v>
      </c>
      <c r="G7" s="16">
        <v>2</v>
      </c>
      <c r="H7" s="16">
        <v>110</v>
      </c>
      <c r="I7" s="8"/>
      <c r="J7" s="80"/>
      <c r="K7" s="83">
        <f t="shared" si="3"/>
        <v>253000</v>
      </c>
      <c r="L7" s="12"/>
      <c r="M7" s="18"/>
      <c r="N7" s="29"/>
      <c r="O7" s="57">
        <f t="shared" si="0"/>
        <v>220</v>
      </c>
      <c r="P7" s="54"/>
      <c r="Q7" s="15"/>
      <c r="S7" s="16" t="s">
        <v>6</v>
      </c>
      <c r="T7" s="16">
        <v>2</v>
      </c>
      <c r="U7" s="16">
        <v>110</v>
      </c>
      <c r="V7" s="8" t="s">
        <v>20</v>
      </c>
      <c r="W7" s="8">
        <v>110</v>
      </c>
      <c r="X7" s="12">
        <v>209000</v>
      </c>
      <c r="Y7" s="13">
        <f t="shared" si="5"/>
        <v>1900</v>
      </c>
      <c r="Z7" s="12">
        <f t="shared" si="6"/>
        <v>418000</v>
      </c>
      <c r="AA7" s="15"/>
      <c r="AB7" s="15"/>
    </row>
    <row r="8" spans="1:29" x14ac:dyDescent="0.25">
      <c r="F8" s="16" t="s">
        <v>7</v>
      </c>
      <c r="G8" s="16">
        <v>5</v>
      </c>
      <c r="H8" s="16">
        <v>94</v>
      </c>
      <c r="I8" s="8"/>
      <c r="J8" s="80"/>
      <c r="K8" s="83">
        <f t="shared" si="3"/>
        <v>216200</v>
      </c>
      <c r="L8" s="12"/>
      <c r="M8" s="18"/>
      <c r="N8" s="29"/>
      <c r="O8" s="57">
        <f t="shared" si="0"/>
        <v>470</v>
      </c>
      <c r="P8" s="54"/>
      <c r="Q8" s="15"/>
      <c r="S8" s="16" t="s">
        <v>7</v>
      </c>
      <c r="T8" s="16">
        <v>5</v>
      </c>
      <c r="U8" s="16">
        <v>94</v>
      </c>
      <c r="V8" s="8" t="s">
        <v>15</v>
      </c>
      <c r="W8" s="8">
        <v>94</v>
      </c>
      <c r="X8" s="12">
        <v>179400</v>
      </c>
      <c r="Y8" s="13">
        <f t="shared" si="5"/>
        <v>1908.5106382978724</v>
      </c>
      <c r="Z8" s="12">
        <f t="shared" si="6"/>
        <v>897000</v>
      </c>
      <c r="AA8" s="15"/>
      <c r="AB8" s="15"/>
    </row>
    <row r="9" spans="1:29" x14ac:dyDescent="0.25">
      <c r="F9" s="16" t="s">
        <v>8</v>
      </c>
      <c r="G9" s="16">
        <v>5</v>
      </c>
      <c r="H9" s="16">
        <v>120</v>
      </c>
      <c r="I9" s="8"/>
      <c r="J9" s="80"/>
      <c r="K9" s="83">
        <f t="shared" si="3"/>
        <v>276000</v>
      </c>
      <c r="L9" s="12"/>
      <c r="M9" s="18"/>
      <c r="N9" s="29"/>
      <c r="O9" s="57">
        <f t="shared" si="0"/>
        <v>600</v>
      </c>
      <c r="P9" s="54"/>
      <c r="Q9" s="15"/>
      <c r="S9" s="16" t="s">
        <v>8</v>
      </c>
      <c r="T9" s="16">
        <v>5</v>
      </c>
      <c r="U9" s="16">
        <v>120</v>
      </c>
      <c r="V9" s="9" t="s">
        <v>116</v>
      </c>
      <c r="W9" s="8">
        <v>114</v>
      </c>
      <c r="X9" s="12">
        <v>226500</v>
      </c>
      <c r="Y9" s="13">
        <f t="shared" si="5"/>
        <v>1986.8421052631579</v>
      </c>
      <c r="Z9" s="12">
        <f t="shared" si="6"/>
        <v>1192105.2631578948</v>
      </c>
      <c r="AA9" s="15"/>
      <c r="AB9" s="15"/>
    </row>
    <row r="10" spans="1:29" x14ac:dyDescent="0.25">
      <c r="F10" s="16" t="s">
        <v>9</v>
      </c>
      <c r="G10" s="16">
        <v>2</v>
      </c>
      <c r="H10" s="16">
        <v>135</v>
      </c>
      <c r="I10" s="8"/>
      <c r="J10" s="80"/>
      <c r="K10" s="83">
        <f t="shared" si="3"/>
        <v>310500</v>
      </c>
      <c r="L10" s="12"/>
      <c r="M10" s="18"/>
      <c r="N10" s="29"/>
      <c r="O10" s="57">
        <f t="shared" si="0"/>
        <v>270</v>
      </c>
      <c r="P10" s="54"/>
      <c r="Q10" s="15"/>
      <c r="S10" s="16" t="s">
        <v>9</v>
      </c>
      <c r="T10" s="16">
        <v>2</v>
      </c>
      <c r="U10" s="16">
        <v>135</v>
      </c>
      <c r="V10" s="9" t="s">
        <v>116</v>
      </c>
      <c r="W10" s="8">
        <v>114</v>
      </c>
      <c r="X10" s="12">
        <v>226500</v>
      </c>
      <c r="Y10" s="13">
        <f t="shared" si="5"/>
        <v>1986.8421052631579</v>
      </c>
      <c r="Z10" s="12">
        <f t="shared" si="6"/>
        <v>536447.36842105258</v>
      </c>
      <c r="AA10" s="15"/>
      <c r="AB10" s="15"/>
    </row>
    <row r="11" spans="1:29" ht="15.75" x14ac:dyDescent="0.25">
      <c r="G11" s="3">
        <f>SUM(G3:G10)</f>
        <v>25</v>
      </c>
      <c r="L11" s="4"/>
      <c r="M11" s="19">
        <f>SUM(M3:M3)</f>
        <v>77050</v>
      </c>
      <c r="N11" s="35">
        <f>SUM(N4:N5)</f>
        <v>270396</v>
      </c>
      <c r="O11" s="69">
        <f>SUM(O3:O10)</f>
        <v>2305</v>
      </c>
      <c r="P11" s="54">
        <f>SUM(O6:O10)</f>
        <v>1888</v>
      </c>
      <c r="Q11" s="15"/>
      <c r="T11" s="3">
        <f>SUM(T3:T10)</f>
        <v>25</v>
      </c>
      <c r="Y11" s="31" t="s">
        <v>1</v>
      </c>
      <c r="Z11" s="32">
        <f>SUM(Z3:Z10)</f>
        <v>4530982.6425318494</v>
      </c>
      <c r="AA11" s="32">
        <f>SUM(Z11*0.3)</f>
        <v>1359294.7927595547</v>
      </c>
      <c r="AB11" s="33">
        <f>SUM(AA11*0.604)</f>
        <v>821014.05482677103</v>
      </c>
    </row>
    <row r="12" spans="1:29" ht="15.75" x14ac:dyDescent="0.25">
      <c r="F12" s="95"/>
      <c r="G12" s="99"/>
      <c r="L12" s="4"/>
      <c r="M12" s="36" t="s">
        <v>1</v>
      </c>
      <c r="N12" s="33">
        <f>SUM(M11+N11)</f>
        <v>347446</v>
      </c>
      <c r="O12" s="6" t="s">
        <v>141</v>
      </c>
      <c r="P12" s="55"/>
      <c r="S12" s="95"/>
      <c r="T12" s="96"/>
      <c r="U12" s="45"/>
      <c r="V12" s="45"/>
      <c r="W12" s="45"/>
      <c r="AA12" s="34" t="s">
        <v>17</v>
      </c>
      <c r="AB12" s="11">
        <f>SUM(AB11/(T11*0.3))</f>
        <v>109468.54064356947</v>
      </c>
    </row>
    <row r="13" spans="1:29" x14ac:dyDescent="0.25">
      <c r="F13" s="95"/>
      <c r="G13" s="99"/>
      <c r="L13" s="4"/>
      <c r="M13" s="44" t="s">
        <v>30</v>
      </c>
      <c r="N13" s="11">
        <f>SUM(AB12*0.5)</f>
        <v>54734.270321784737</v>
      </c>
      <c r="O13" s="59" t="s">
        <v>35</v>
      </c>
      <c r="P13" s="55"/>
      <c r="S13" s="45"/>
      <c r="T13" s="45"/>
      <c r="U13" s="45"/>
      <c r="V13" s="45"/>
      <c r="W13" s="45"/>
    </row>
    <row r="14" spans="1:29" x14ac:dyDescent="0.25"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29" x14ac:dyDescent="0.25">
      <c r="C15" s="6" t="s">
        <v>61</v>
      </c>
      <c r="D15" s="2" t="s">
        <v>60</v>
      </c>
      <c r="F15" s="2" t="s">
        <v>56</v>
      </c>
      <c r="O15" s="56"/>
      <c r="P15" s="55"/>
      <c r="S15" s="47"/>
      <c r="T15" s="45"/>
      <c r="U15" s="45"/>
      <c r="V15" s="45"/>
      <c r="W15" s="45"/>
      <c r="X15" s="45"/>
      <c r="Y15" s="45"/>
      <c r="Z15" s="45"/>
      <c r="AA15" s="45"/>
      <c r="AB15" s="45"/>
      <c r="AC15" s="45"/>
    </row>
    <row r="16" spans="1:29" ht="32.25" x14ac:dyDescent="0.25">
      <c r="B16" s="6" t="s">
        <v>77</v>
      </c>
      <c r="C16" s="6">
        <f>SUM(30*0.3)</f>
        <v>9</v>
      </c>
      <c r="F16" s="3" t="s">
        <v>0</v>
      </c>
      <c r="G16" s="3" t="s">
        <v>2</v>
      </c>
      <c r="H16" s="3" t="s">
        <v>10</v>
      </c>
      <c r="I16" s="10" t="s">
        <v>34</v>
      </c>
      <c r="J16" s="10" t="s">
        <v>67</v>
      </c>
      <c r="K16" s="82" t="s">
        <v>69</v>
      </c>
      <c r="L16" s="10" t="s">
        <v>68</v>
      </c>
      <c r="M16" s="10" t="s">
        <v>29</v>
      </c>
      <c r="N16" s="10" t="s">
        <v>32</v>
      </c>
      <c r="O16" s="10" t="s">
        <v>163</v>
      </c>
      <c r="P16" s="54" t="s">
        <v>164</v>
      </c>
      <c r="Q16" s="54" t="s">
        <v>165</v>
      </c>
      <c r="S16" s="37"/>
      <c r="T16" s="37"/>
      <c r="U16" s="37"/>
      <c r="V16" s="103"/>
      <c r="W16" s="103"/>
      <c r="X16" s="103"/>
      <c r="Y16" s="103"/>
      <c r="Z16" s="103"/>
      <c r="AA16" s="103"/>
      <c r="AB16" s="103"/>
      <c r="AC16" s="45"/>
    </row>
    <row r="17" spans="1:29" x14ac:dyDescent="0.25">
      <c r="A17">
        <f>30*0.3</f>
        <v>9</v>
      </c>
      <c r="B17" s="6" t="s">
        <v>44</v>
      </c>
      <c r="C17" s="68">
        <f>A17*0.2</f>
        <v>1.8</v>
      </c>
      <c r="D17" s="2">
        <v>2</v>
      </c>
      <c r="F17" s="17" t="s">
        <v>37</v>
      </c>
      <c r="G17" s="17">
        <v>1</v>
      </c>
      <c r="H17" s="17">
        <v>67</v>
      </c>
      <c r="I17" s="18"/>
      <c r="J17" s="80">
        <f>SUM(H17*2300)</f>
        <v>154100</v>
      </c>
      <c r="K17" s="83">
        <f>H17*2300</f>
        <v>154100</v>
      </c>
      <c r="L17" s="80">
        <f>SUM(J17*G17)</f>
        <v>154100</v>
      </c>
      <c r="M17" s="81">
        <f>SUM(L17*0.5)</f>
        <v>77050</v>
      </c>
      <c r="N17" s="29"/>
      <c r="O17" s="57">
        <f t="shared" ref="O17:O26" si="7">SUM(G17*H17)</f>
        <v>67</v>
      </c>
      <c r="P17" s="54"/>
      <c r="Q17" s="15"/>
      <c r="S17" s="23"/>
      <c r="T17" s="23"/>
      <c r="U17" s="23"/>
      <c r="V17" s="24"/>
      <c r="W17" s="24"/>
      <c r="X17" s="25"/>
      <c r="Y17" s="109"/>
      <c r="Z17" s="26"/>
      <c r="AA17" s="45"/>
      <c r="AB17" s="45"/>
      <c r="AC17" s="45"/>
    </row>
    <row r="18" spans="1:29" x14ac:dyDescent="0.25">
      <c r="A18">
        <f>A17</f>
        <v>9</v>
      </c>
      <c r="B18" s="6" t="s">
        <v>45</v>
      </c>
      <c r="C18" s="68">
        <f>A18*0.8</f>
        <v>7.2</v>
      </c>
      <c r="D18" s="2">
        <v>7</v>
      </c>
      <c r="F18" s="17" t="s">
        <v>38</v>
      </c>
      <c r="G18" s="17">
        <v>1</v>
      </c>
      <c r="H18" s="17">
        <v>78</v>
      </c>
      <c r="I18" s="18"/>
      <c r="J18" s="80">
        <f>SUM(H18*2300)</f>
        <v>179400</v>
      </c>
      <c r="K18" s="83">
        <f t="shared" ref="K18:K26" si="8">H18*2300</f>
        <v>179400</v>
      </c>
      <c r="L18" s="80">
        <f>SUM(J18*G18)</f>
        <v>179400</v>
      </c>
      <c r="M18" s="81">
        <f>SUM(L18*0.5)</f>
        <v>89700</v>
      </c>
      <c r="N18" s="29"/>
      <c r="O18" s="57">
        <f t="shared" si="7"/>
        <v>78</v>
      </c>
      <c r="P18" s="54"/>
      <c r="Q18" s="15"/>
      <c r="S18" s="23"/>
      <c r="T18" s="23"/>
      <c r="U18" s="23"/>
      <c r="V18" s="24"/>
      <c r="W18" s="24"/>
      <c r="X18" s="25"/>
      <c r="Y18" s="109"/>
      <c r="Z18" s="26"/>
      <c r="AA18" s="45"/>
      <c r="AB18" s="45"/>
      <c r="AC18" s="45"/>
    </row>
    <row r="19" spans="1:29" x14ac:dyDescent="0.25">
      <c r="A19"/>
      <c r="B19" t="s">
        <v>47</v>
      </c>
      <c r="C19" s="67">
        <v>0</v>
      </c>
      <c r="D19" s="2">
        <v>0</v>
      </c>
      <c r="F19" s="17" t="s">
        <v>26</v>
      </c>
      <c r="G19" s="17">
        <v>2</v>
      </c>
      <c r="H19" s="17">
        <v>46</v>
      </c>
      <c r="I19" s="18" t="s">
        <v>28</v>
      </c>
      <c r="J19" s="19">
        <v>101900</v>
      </c>
      <c r="K19" s="83">
        <f t="shared" si="8"/>
        <v>105800</v>
      </c>
      <c r="L19" s="19">
        <f>SUM(J19*G19)</f>
        <v>203800</v>
      </c>
      <c r="M19" s="28"/>
      <c r="N19" s="30">
        <f>SUM(L19*0.37)</f>
        <v>75406</v>
      </c>
      <c r="O19" s="57">
        <f t="shared" si="7"/>
        <v>92</v>
      </c>
      <c r="P19" s="54"/>
      <c r="Q19" s="15"/>
      <c r="S19" s="23"/>
      <c r="T19" s="23"/>
      <c r="U19" s="23"/>
      <c r="V19" s="24"/>
      <c r="W19" s="24"/>
      <c r="X19" s="25"/>
      <c r="Y19" s="109"/>
      <c r="Z19" s="26"/>
      <c r="AA19" s="45"/>
      <c r="AB19" s="45"/>
      <c r="AC19" s="45"/>
    </row>
    <row r="20" spans="1:29" x14ac:dyDescent="0.25">
      <c r="F20" s="17" t="s">
        <v>25</v>
      </c>
      <c r="G20" s="17">
        <v>3</v>
      </c>
      <c r="H20" s="17">
        <v>83</v>
      </c>
      <c r="I20" s="18" t="s">
        <v>13</v>
      </c>
      <c r="J20" s="19">
        <v>161600</v>
      </c>
      <c r="K20" s="83">
        <f t="shared" si="8"/>
        <v>190900</v>
      </c>
      <c r="L20" s="19">
        <f>SUM(J20*G20)</f>
        <v>484800</v>
      </c>
      <c r="M20" s="28"/>
      <c r="N20" s="30">
        <f>SUM(L20*0.37)</f>
        <v>179376</v>
      </c>
      <c r="O20" s="57">
        <f t="shared" si="7"/>
        <v>249</v>
      </c>
      <c r="P20" s="54"/>
      <c r="Q20" s="15"/>
      <c r="S20" s="23"/>
      <c r="T20" s="23"/>
      <c r="U20" s="23"/>
      <c r="V20" s="24"/>
      <c r="W20" s="24"/>
      <c r="X20" s="25"/>
      <c r="Y20" s="109"/>
      <c r="Z20" s="26"/>
      <c r="AA20" s="45"/>
      <c r="AB20" s="45"/>
      <c r="AC20" s="45"/>
    </row>
    <row r="21" spans="1:29" x14ac:dyDescent="0.25">
      <c r="F21" s="17" t="s">
        <v>31</v>
      </c>
      <c r="G21" s="18">
        <v>2</v>
      </c>
      <c r="H21" s="18">
        <v>94</v>
      </c>
      <c r="I21" s="21" t="s">
        <v>15</v>
      </c>
      <c r="J21" s="19">
        <v>179400</v>
      </c>
      <c r="K21" s="83">
        <f t="shared" si="8"/>
        <v>216200</v>
      </c>
      <c r="L21" s="19">
        <f>SUM(J21*G21)</f>
        <v>358800</v>
      </c>
      <c r="M21" s="21"/>
      <c r="N21" s="30">
        <f>SUM(L21*0.37)</f>
        <v>132756</v>
      </c>
      <c r="O21" s="22">
        <f t="shared" si="7"/>
        <v>188</v>
      </c>
      <c r="P21" s="54"/>
      <c r="Q21" s="61">
        <f>SUM(O17:O21)</f>
        <v>674</v>
      </c>
      <c r="S21" s="23"/>
      <c r="T21" s="23"/>
      <c r="U21" s="23"/>
      <c r="V21" s="24"/>
      <c r="W21" s="24"/>
      <c r="X21" s="25"/>
      <c r="Y21" s="109"/>
      <c r="Z21" s="26"/>
      <c r="AA21" s="45"/>
      <c r="AB21" s="45"/>
      <c r="AC21" s="45"/>
    </row>
    <row r="22" spans="1:29" x14ac:dyDescent="0.25">
      <c r="F22" s="16" t="s">
        <v>5</v>
      </c>
      <c r="G22" s="16">
        <v>6</v>
      </c>
      <c r="H22" s="16">
        <v>82</v>
      </c>
      <c r="I22" s="8"/>
      <c r="J22" s="80"/>
      <c r="K22" s="83">
        <f t="shared" si="8"/>
        <v>188600</v>
      </c>
      <c r="L22" s="14"/>
      <c r="M22" s="29"/>
      <c r="N22" s="29"/>
      <c r="O22" s="57">
        <f t="shared" si="7"/>
        <v>492</v>
      </c>
      <c r="P22" s="54"/>
      <c r="Q22" s="15"/>
      <c r="S22" s="23"/>
      <c r="T22" s="23"/>
      <c r="U22" s="23"/>
      <c r="V22" s="24"/>
      <c r="W22" s="24"/>
      <c r="X22" s="25"/>
      <c r="Y22" s="109"/>
      <c r="Z22" s="26"/>
      <c r="AA22" s="45"/>
      <c r="AB22" s="45"/>
      <c r="AC22" s="45"/>
    </row>
    <row r="23" spans="1:29" x14ac:dyDescent="0.25">
      <c r="F23" s="16" t="s">
        <v>6</v>
      </c>
      <c r="G23" s="16">
        <v>2</v>
      </c>
      <c r="H23" s="16">
        <v>110</v>
      </c>
      <c r="I23" s="8"/>
      <c r="J23" s="80"/>
      <c r="K23" s="83">
        <f t="shared" si="8"/>
        <v>253000</v>
      </c>
      <c r="L23" s="14"/>
      <c r="M23" s="29"/>
      <c r="N23" s="29"/>
      <c r="O23" s="57">
        <f t="shared" si="7"/>
        <v>220</v>
      </c>
      <c r="P23" s="54"/>
      <c r="Q23" s="15"/>
      <c r="S23" s="23"/>
      <c r="T23" s="23"/>
      <c r="U23" s="23"/>
      <c r="V23" s="24"/>
      <c r="W23" s="24"/>
      <c r="X23" s="25"/>
      <c r="Y23" s="109"/>
      <c r="Z23" s="26"/>
      <c r="AA23" s="45"/>
      <c r="AB23" s="45"/>
      <c r="AC23" s="45"/>
    </row>
    <row r="24" spans="1:29" ht="15.75" x14ac:dyDescent="0.25">
      <c r="F24" s="16" t="s">
        <v>7</v>
      </c>
      <c r="G24" s="16">
        <v>5</v>
      </c>
      <c r="H24" s="16">
        <v>94</v>
      </c>
      <c r="I24" s="8"/>
      <c r="J24" s="80"/>
      <c r="K24" s="83">
        <f t="shared" si="8"/>
        <v>216200</v>
      </c>
      <c r="L24" s="14"/>
      <c r="M24" s="29"/>
      <c r="N24" s="29"/>
      <c r="O24" s="57">
        <f t="shared" si="7"/>
        <v>470</v>
      </c>
      <c r="P24" s="54"/>
      <c r="Q24" s="15"/>
      <c r="S24" s="45"/>
      <c r="T24" s="37"/>
      <c r="U24" s="45"/>
      <c r="V24" s="45"/>
      <c r="W24" s="45"/>
      <c r="X24" s="45"/>
      <c r="Y24" s="110"/>
      <c r="Z24" s="50"/>
      <c r="AA24" s="50"/>
      <c r="AB24" s="38"/>
      <c r="AC24" s="45"/>
    </row>
    <row r="25" spans="1:29" x14ac:dyDescent="0.25">
      <c r="F25" s="16" t="s">
        <v>8</v>
      </c>
      <c r="G25" s="16">
        <v>6</v>
      </c>
      <c r="H25" s="16">
        <v>120</v>
      </c>
      <c r="I25" s="8"/>
      <c r="J25" s="80"/>
      <c r="K25" s="83">
        <f t="shared" si="8"/>
        <v>276000</v>
      </c>
      <c r="L25" s="14"/>
      <c r="M25" s="29"/>
      <c r="N25" s="29"/>
      <c r="O25" s="57">
        <f t="shared" si="7"/>
        <v>720</v>
      </c>
      <c r="P25" s="54"/>
      <c r="Q25" s="15"/>
      <c r="S25" s="95"/>
      <c r="T25" s="96"/>
      <c r="U25" s="45"/>
      <c r="V25" s="45"/>
      <c r="W25" s="45"/>
      <c r="X25" s="45"/>
      <c r="Y25" s="45"/>
      <c r="Z25" s="45"/>
      <c r="AA25" s="47"/>
      <c r="AB25" s="102"/>
      <c r="AC25" s="45"/>
    </row>
    <row r="26" spans="1:29" x14ac:dyDescent="0.25">
      <c r="F26" s="16" t="s">
        <v>9</v>
      </c>
      <c r="G26" s="16">
        <v>2</v>
      </c>
      <c r="H26" s="16">
        <v>135</v>
      </c>
      <c r="I26" s="8"/>
      <c r="J26" s="80"/>
      <c r="K26" s="83">
        <f t="shared" si="8"/>
        <v>310500</v>
      </c>
      <c r="L26" s="14"/>
      <c r="M26" s="46"/>
      <c r="N26" s="46"/>
      <c r="O26" s="57">
        <f t="shared" si="7"/>
        <v>270</v>
      </c>
      <c r="P26" s="54"/>
      <c r="Q26" s="1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</row>
    <row r="27" spans="1:29" x14ac:dyDescent="0.25">
      <c r="F27" s="23"/>
      <c r="G27" s="3">
        <f>SUM(G17:G26)</f>
        <v>30</v>
      </c>
      <c r="H27" s="23"/>
      <c r="I27" s="24"/>
      <c r="J27" s="25"/>
      <c r="K27" s="85"/>
      <c r="L27" s="26"/>
      <c r="M27" s="35">
        <f>SUM(M17:M18)</f>
        <v>166750</v>
      </c>
      <c r="N27" s="35">
        <f>SUM(N19:N21)</f>
        <v>387538</v>
      </c>
      <c r="O27" s="70">
        <f>SUM(O17:O26)</f>
        <v>2846</v>
      </c>
      <c r="P27" s="54">
        <f>SUM(O22:O26)</f>
        <v>2172</v>
      </c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75" x14ac:dyDescent="0.25">
      <c r="F28" s="95"/>
      <c r="G28" s="99"/>
      <c r="H28" s="45"/>
      <c r="I28" s="24"/>
      <c r="J28" s="25"/>
      <c r="K28" s="85"/>
      <c r="L28" s="26"/>
      <c r="M28" s="36" t="s">
        <v>1</v>
      </c>
      <c r="N28" s="33">
        <f>SUM(M27:N27)</f>
        <v>554288</v>
      </c>
      <c r="O28" s="6" t="s">
        <v>141</v>
      </c>
      <c r="P28" s="5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</row>
    <row r="30" spans="1:29" x14ac:dyDescent="0.25">
      <c r="C30" s="6" t="s">
        <v>61</v>
      </c>
      <c r="D30" s="2" t="s">
        <v>60</v>
      </c>
      <c r="F30" s="47" t="s">
        <v>57</v>
      </c>
      <c r="G30" s="45"/>
      <c r="H30" s="45"/>
      <c r="I30" s="45"/>
      <c r="J30" s="45"/>
      <c r="K30" s="86"/>
      <c r="O30" s="56"/>
      <c r="P30" s="55"/>
      <c r="S30" s="2" t="s">
        <v>106</v>
      </c>
    </row>
    <row r="31" spans="1:29" ht="32.25" x14ac:dyDescent="0.25">
      <c r="B31" s="6" t="s">
        <v>77</v>
      </c>
      <c r="C31" s="6">
        <f>SUM(35*0.3)</f>
        <v>10.5</v>
      </c>
      <c r="F31" s="3" t="s">
        <v>0</v>
      </c>
      <c r="G31" s="3" t="s">
        <v>2</v>
      </c>
      <c r="H31" s="3" t="s">
        <v>10</v>
      </c>
      <c r="I31" s="10" t="s">
        <v>34</v>
      </c>
      <c r="J31" s="10" t="s">
        <v>67</v>
      </c>
      <c r="K31" s="82" t="s">
        <v>69</v>
      </c>
      <c r="L31" s="10" t="s">
        <v>68</v>
      </c>
      <c r="M31" s="10" t="s">
        <v>29</v>
      </c>
      <c r="N31" s="10" t="s">
        <v>32</v>
      </c>
      <c r="O31" s="10" t="s">
        <v>163</v>
      </c>
      <c r="P31" s="54" t="s">
        <v>164</v>
      </c>
      <c r="Q31" s="54" t="s">
        <v>165</v>
      </c>
      <c r="S31" s="3" t="s">
        <v>0</v>
      </c>
      <c r="T31" s="3" t="s">
        <v>2</v>
      </c>
      <c r="U31" s="3" t="s">
        <v>10</v>
      </c>
      <c r="V31" s="7" t="s">
        <v>11</v>
      </c>
      <c r="W31" s="7" t="s">
        <v>10</v>
      </c>
      <c r="X31" s="7" t="s">
        <v>21</v>
      </c>
      <c r="Y31" s="7" t="s">
        <v>162</v>
      </c>
      <c r="Z31" s="7" t="s">
        <v>12</v>
      </c>
      <c r="AA31" s="7" t="s">
        <v>122</v>
      </c>
      <c r="AB31" s="10" t="s">
        <v>140</v>
      </c>
    </row>
    <row r="32" spans="1:29" x14ac:dyDescent="0.25">
      <c r="A32">
        <f>35*0.3</f>
        <v>10.5</v>
      </c>
      <c r="B32" s="6" t="s">
        <v>44</v>
      </c>
      <c r="C32" s="68">
        <f>A32*0.2</f>
        <v>2.1</v>
      </c>
      <c r="D32" s="2">
        <v>2</v>
      </c>
      <c r="F32" s="17" t="s">
        <v>23</v>
      </c>
      <c r="G32" s="17">
        <v>1</v>
      </c>
      <c r="H32" s="17">
        <v>67</v>
      </c>
      <c r="I32" s="18"/>
      <c r="J32" s="80">
        <f>SUM(H32*2300)</f>
        <v>154100</v>
      </c>
      <c r="K32" s="83">
        <f>H32*2300</f>
        <v>154100</v>
      </c>
      <c r="L32" s="80">
        <f>SUM(J32*G32)</f>
        <v>154100</v>
      </c>
      <c r="M32" s="81">
        <f>SUM(L32*0.5)</f>
        <v>77050</v>
      </c>
      <c r="N32" s="29"/>
      <c r="O32" s="57">
        <f t="shared" ref="O32:O40" si="9">SUM(G32*H32)</f>
        <v>67</v>
      </c>
      <c r="P32" s="54"/>
      <c r="Q32" s="15"/>
      <c r="S32" s="16" t="s">
        <v>3</v>
      </c>
      <c r="T32" s="16">
        <v>1</v>
      </c>
      <c r="U32" s="16">
        <v>67</v>
      </c>
      <c r="V32" s="8" t="s">
        <v>13</v>
      </c>
      <c r="W32" s="8">
        <v>83</v>
      </c>
      <c r="X32" s="12">
        <v>161600</v>
      </c>
      <c r="Y32" s="13">
        <f t="shared" ref="Y32:Y33" si="10">SUM(X32/W32)</f>
        <v>1946.9879518072289</v>
      </c>
      <c r="Z32" s="12">
        <f t="shared" ref="Z32:Z33" si="11">SUM((T32*U32)*Y32)</f>
        <v>130448.19277108433</v>
      </c>
      <c r="AA32" s="15"/>
      <c r="AB32" s="15"/>
    </row>
    <row r="33" spans="1:28" x14ac:dyDescent="0.25">
      <c r="A33">
        <f>A32</f>
        <v>10.5</v>
      </c>
      <c r="B33" s="6" t="s">
        <v>45</v>
      </c>
      <c r="C33" s="68">
        <f>A33*0.8</f>
        <v>8.4</v>
      </c>
      <c r="D33" s="2">
        <v>8</v>
      </c>
      <c r="F33" s="17" t="s">
        <v>24</v>
      </c>
      <c r="G33" s="17">
        <v>1</v>
      </c>
      <c r="H33" s="17">
        <v>78</v>
      </c>
      <c r="I33" s="18"/>
      <c r="J33" s="80">
        <f>SUM(H33*2300)</f>
        <v>179400</v>
      </c>
      <c r="K33" s="83">
        <f t="shared" ref="K33:K40" si="12">H33*2300</f>
        <v>179400</v>
      </c>
      <c r="L33" s="80">
        <f>SUM(J33*G33)</f>
        <v>179400</v>
      </c>
      <c r="M33" s="81">
        <f>SUM(L33*0.5)</f>
        <v>89700</v>
      </c>
      <c r="N33" s="29"/>
      <c r="O33" s="57">
        <f t="shared" si="9"/>
        <v>78</v>
      </c>
      <c r="P33" s="54"/>
      <c r="Q33" s="15"/>
      <c r="S33" s="16" t="s">
        <v>4</v>
      </c>
      <c r="T33" s="16">
        <v>1</v>
      </c>
      <c r="U33" s="16">
        <v>78</v>
      </c>
      <c r="V33" s="8" t="s">
        <v>14</v>
      </c>
      <c r="W33" s="8">
        <v>88</v>
      </c>
      <c r="X33" s="12">
        <v>168000</v>
      </c>
      <c r="Y33" s="13">
        <f t="shared" si="10"/>
        <v>1909.090909090909</v>
      </c>
      <c r="Z33" s="12">
        <f t="shared" si="11"/>
        <v>148909.09090909091</v>
      </c>
      <c r="AA33" s="15"/>
      <c r="AB33" s="15"/>
    </row>
    <row r="34" spans="1:28" ht="15" customHeight="1" x14ac:dyDescent="0.25">
      <c r="A34"/>
      <c r="B34" t="s">
        <v>47</v>
      </c>
      <c r="C34" s="67">
        <v>0.5</v>
      </c>
      <c r="D34" s="116">
        <v>0.5</v>
      </c>
      <c r="F34" s="17" t="s">
        <v>26</v>
      </c>
      <c r="G34" s="17">
        <v>2</v>
      </c>
      <c r="H34" s="17">
        <v>46</v>
      </c>
      <c r="I34" s="18" t="s">
        <v>28</v>
      </c>
      <c r="J34" s="19">
        <v>101900</v>
      </c>
      <c r="K34" s="83">
        <f t="shared" si="12"/>
        <v>105800</v>
      </c>
      <c r="L34" s="19">
        <f>SUM(J34*G34)</f>
        <v>203800</v>
      </c>
      <c r="M34" s="28"/>
      <c r="N34" s="30">
        <f>SUM(L34*0.37)</f>
        <v>75406</v>
      </c>
      <c r="O34" s="57">
        <f t="shared" si="9"/>
        <v>92</v>
      </c>
      <c r="P34" s="54"/>
      <c r="Q34" s="15"/>
      <c r="S34" s="16" t="s">
        <v>63</v>
      </c>
      <c r="T34" s="16">
        <v>2</v>
      </c>
      <c r="U34" s="16">
        <v>46</v>
      </c>
      <c r="V34" s="74" t="s">
        <v>28</v>
      </c>
      <c r="W34" s="91">
        <v>46</v>
      </c>
      <c r="X34" s="94">
        <v>101900</v>
      </c>
      <c r="Y34" s="97">
        <f t="shared" ref="Y34" si="13">SUM(X34/W34)</f>
        <v>2215.217391304348</v>
      </c>
      <c r="Z34" s="92">
        <f t="shared" ref="Z34" si="14">SUM((T34*U34)*Y34)</f>
        <v>203800</v>
      </c>
      <c r="AA34" s="15"/>
      <c r="AB34" s="15"/>
    </row>
    <row r="35" spans="1:28" x14ac:dyDescent="0.25">
      <c r="F35" s="17" t="s">
        <v>25</v>
      </c>
      <c r="G35" s="17">
        <v>4</v>
      </c>
      <c r="H35" s="17">
        <v>83</v>
      </c>
      <c r="I35" s="18" t="s">
        <v>13</v>
      </c>
      <c r="J35" s="19">
        <v>161600</v>
      </c>
      <c r="K35" s="83">
        <f t="shared" si="12"/>
        <v>190900</v>
      </c>
      <c r="L35" s="19">
        <f>SUM(J35*G35)</f>
        <v>646400</v>
      </c>
      <c r="M35" s="28"/>
      <c r="N35" s="30">
        <f>SUM(L35*0.37)</f>
        <v>239168</v>
      </c>
      <c r="O35" s="57">
        <f t="shared" si="9"/>
        <v>332</v>
      </c>
      <c r="P35" s="54"/>
      <c r="Q35" s="15"/>
      <c r="S35" s="16" t="s">
        <v>3</v>
      </c>
      <c r="T35" s="16">
        <v>4</v>
      </c>
      <c r="U35" s="16">
        <v>83</v>
      </c>
      <c r="V35" s="8" t="s">
        <v>13</v>
      </c>
      <c r="W35" s="8">
        <v>83</v>
      </c>
      <c r="X35" s="12">
        <v>161600</v>
      </c>
      <c r="Y35" s="13">
        <f t="shared" ref="Y35:Y40" si="15">SUM(X35/W35)</f>
        <v>1946.9879518072289</v>
      </c>
      <c r="Z35" s="12">
        <f t="shared" ref="Z35:Z40" si="16">SUM((T35*U35)*Y35)</f>
        <v>646400</v>
      </c>
      <c r="AA35" s="15"/>
      <c r="AB35" s="15"/>
    </row>
    <row r="36" spans="1:28" x14ac:dyDescent="0.25">
      <c r="F36" s="17" t="s">
        <v>31</v>
      </c>
      <c r="G36" s="18">
        <v>2</v>
      </c>
      <c r="H36" s="18">
        <v>94</v>
      </c>
      <c r="I36" s="21" t="s">
        <v>15</v>
      </c>
      <c r="J36" s="19">
        <v>179400</v>
      </c>
      <c r="K36" s="83">
        <f t="shared" si="12"/>
        <v>216200</v>
      </c>
      <c r="L36" s="19">
        <f>SUM(J36*G36)</f>
        <v>358800</v>
      </c>
      <c r="M36" s="21"/>
      <c r="N36" s="30">
        <f>SUM(L36*0.37)</f>
        <v>132756</v>
      </c>
      <c r="O36" s="22">
        <f t="shared" si="9"/>
        <v>188</v>
      </c>
      <c r="P36" s="54"/>
      <c r="Q36" s="61">
        <f>SUM(O32:O36)</f>
        <v>757</v>
      </c>
      <c r="S36" s="16" t="s">
        <v>4</v>
      </c>
      <c r="T36" s="16">
        <v>2</v>
      </c>
      <c r="U36" s="16">
        <v>94</v>
      </c>
      <c r="V36" s="8" t="s">
        <v>15</v>
      </c>
      <c r="W36" s="8">
        <v>94</v>
      </c>
      <c r="X36" s="12">
        <v>179400</v>
      </c>
      <c r="Y36" s="13">
        <f t="shared" ref="Y36" si="17">SUM(X36/W36)</f>
        <v>1908.5106382978724</v>
      </c>
      <c r="Z36" s="12">
        <f t="shared" ref="Z36" si="18">SUM((T36*U36)*Y36)</f>
        <v>358800</v>
      </c>
      <c r="AA36" s="15"/>
      <c r="AB36" s="15"/>
    </row>
    <row r="37" spans="1:28" x14ac:dyDescent="0.25">
      <c r="F37" s="16" t="s">
        <v>5</v>
      </c>
      <c r="G37" s="16">
        <v>8</v>
      </c>
      <c r="H37" s="16">
        <v>82</v>
      </c>
      <c r="I37" s="8"/>
      <c r="J37" s="80"/>
      <c r="K37" s="83">
        <f t="shared" si="12"/>
        <v>188600</v>
      </c>
      <c r="L37" s="14"/>
      <c r="M37" s="15"/>
      <c r="N37" s="15"/>
      <c r="O37" s="57">
        <f t="shared" si="9"/>
        <v>656</v>
      </c>
      <c r="P37" s="54"/>
      <c r="Q37" s="15"/>
      <c r="S37" s="16" t="s">
        <v>5</v>
      </c>
      <c r="T37" s="16">
        <v>8</v>
      </c>
      <c r="U37" s="16">
        <v>82</v>
      </c>
      <c r="V37" s="8" t="s">
        <v>14</v>
      </c>
      <c r="W37" s="8">
        <v>88</v>
      </c>
      <c r="X37" s="12">
        <v>168000</v>
      </c>
      <c r="Y37" s="13">
        <f t="shared" si="15"/>
        <v>1909.090909090909</v>
      </c>
      <c r="Z37" s="12">
        <f t="shared" si="16"/>
        <v>1252363.6363636362</v>
      </c>
      <c r="AA37" s="15"/>
      <c r="AB37" s="15"/>
    </row>
    <row r="38" spans="1:28" x14ac:dyDescent="0.25">
      <c r="F38" s="16" t="s">
        <v>6</v>
      </c>
      <c r="G38" s="16">
        <v>6</v>
      </c>
      <c r="H38" s="16">
        <v>110</v>
      </c>
      <c r="I38" s="8"/>
      <c r="J38" s="80"/>
      <c r="K38" s="83">
        <f t="shared" si="12"/>
        <v>253000</v>
      </c>
      <c r="L38" s="14"/>
      <c r="M38" s="15"/>
      <c r="N38" s="15"/>
      <c r="O38" s="57">
        <f t="shared" si="9"/>
        <v>660</v>
      </c>
      <c r="P38" s="54"/>
      <c r="Q38" s="15"/>
      <c r="S38" s="16" t="s">
        <v>6</v>
      </c>
      <c r="T38" s="16">
        <v>6</v>
      </c>
      <c r="U38" s="16">
        <v>110</v>
      </c>
      <c r="V38" s="8" t="s">
        <v>20</v>
      </c>
      <c r="W38" s="8">
        <v>110</v>
      </c>
      <c r="X38" s="12">
        <v>209000</v>
      </c>
      <c r="Y38" s="13">
        <f t="shared" si="15"/>
        <v>1900</v>
      </c>
      <c r="Z38" s="12">
        <f t="shared" si="16"/>
        <v>1254000</v>
      </c>
      <c r="AA38" s="15"/>
      <c r="AB38" s="15"/>
    </row>
    <row r="39" spans="1:28" x14ac:dyDescent="0.25">
      <c r="F39" s="16" t="s">
        <v>7</v>
      </c>
      <c r="G39" s="16">
        <v>5</v>
      </c>
      <c r="H39" s="16">
        <v>94</v>
      </c>
      <c r="I39" s="8"/>
      <c r="J39" s="80"/>
      <c r="K39" s="83">
        <f t="shared" si="12"/>
        <v>216200</v>
      </c>
      <c r="L39" s="14"/>
      <c r="M39" s="15"/>
      <c r="N39" s="15"/>
      <c r="O39" s="57">
        <f t="shared" si="9"/>
        <v>470</v>
      </c>
      <c r="P39" s="54"/>
      <c r="Q39" s="15"/>
      <c r="S39" s="16" t="s">
        <v>7</v>
      </c>
      <c r="T39" s="16">
        <v>5</v>
      </c>
      <c r="U39" s="16">
        <v>94</v>
      </c>
      <c r="V39" s="8" t="s">
        <v>15</v>
      </c>
      <c r="W39" s="8">
        <v>94</v>
      </c>
      <c r="X39" s="12">
        <v>179400</v>
      </c>
      <c r="Y39" s="13">
        <f t="shared" si="15"/>
        <v>1908.5106382978724</v>
      </c>
      <c r="Z39" s="12">
        <f t="shared" si="16"/>
        <v>897000</v>
      </c>
      <c r="AA39" s="15"/>
      <c r="AB39" s="15"/>
    </row>
    <row r="40" spans="1:28" x14ac:dyDescent="0.25">
      <c r="F40" s="16" t="s">
        <v>8</v>
      </c>
      <c r="G40" s="16">
        <v>6</v>
      </c>
      <c r="H40" s="16">
        <v>120</v>
      </c>
      <c r="I40" s="8"/>
      <c r="J40" s="80"/>
      <c r="K40" s="83">
        <f t="shared" si="12"/>
        <v>276000</v>
      </c>
      <c r="L40" s="14"/>
      <c r="M40" s="15"/>
      <c r="N40" s="15"/>
      <c r="O40" s="57">
        <f t="shared" si="9"/>
        <v>720</v>
      </c>
      <c r="P40" s="54"/>
      <c r="Q40" s="15"/>
      <c r="S40" s="16" t="s">
        <v>8</v>
      </c>
      <c r="T40" s="16">
        <v>6</v>
      </c>
      <c r="U40" s="16">
        <v>120</v>
      </c>
      <c r="V40" s="9" t="s">
        <v>116</v>
      </c>
      <c r="W40" s="8">
        <v>114</v>
      </c>
      <c r="X40" s="12">
        <v>226500</v>
      </c>
      <c r="Y40" s="13">
        <f t="shared" si="15"/>
        <v>1986.8421052631579</v>
      </c>
      <c r="Z40" s="12">
        <f t="shared" si="16"/>
        <v>1430526.3157894737</v>
      </c>
      <c r="AA40" s="15"/>
      <c r="AB40" s="15"/>
    </row>
    <row r="41" spans="1:28" ht="15.75" x14ac:dyDescent="0.25">
      <c r="G41" s="3">
        <f>SUM(G32:G40)</f>
        <v>35</v>
      </c>
      <c r="L41" s="27"/>
      <c r="M41" s="35">
        <f>SUM(M32:M33)</f>
        <v>166750</v>
      </c>
      <c r="N41" s="35">
        <f>SUM(N34:N36)</f>
        <v>447330</v>
      </c>
      <c r="O41" s="69">
        <f>SUM(O32:O40)</f>
        <v>3263</v>
      </c>
      <c r="P41" s="54">
        <f>SUM(O37:O40)</f>
        <v>2506</v>
      </c>
      <c r="Q41" s="15"/>
      <c r="T41" s="3">
        <f>SUM(T32:T40)</f>
        <v>35</v>
      </c>
      <c r="Y41" s="31" t="s">
        <v>1</v>
      </c>
      <c r="Z41" s="98">
        <f>SUM(Z32:Z40)</f>
        <v>6322247.2358332854</v>
      </c>
      <c r="AA41" s="32">
        <f>SUM(Z41*0.3)</f>
        <v>1896674.1707499856</v>
      </c>
      <c r="AB41" s="33">
        <f>SUM(AA41*0.604)</f>
        <v>1145591.1991329913</v>
      </c>
    </row>
    <row r="42" spans="1:28" ht="15.75" x14ac:dyDescent="0.25">
      <c r="F42" s="95"/>
      <c r="G42" s="99"/>
      <c r="H42" s="45"/>
      <c r="M42" s="36" t="s">
        <v>1</v>
      </c>
      <c r="N42" s="33">
        <f>SUM(M41+N41)</f>
        <v>614080</v>
      </c>
      <c r="O42" s="6" t="s">
        <v>141</v>
      </c>
      <c r="P42" s="55"/>
      <c r="S42" s="95"/>
      <c r="T42" s="96"/>
      <c r="U42" s="45"/>
      <c r="V42" s="45"/>
      <c r="W42" s="45"/>
      <c r="AA42" s="34" t="s">
        <v>17</v>
      </c>
      <c r="AB42" s="11">
        <f>SUM(AB41/(T41*0.3))</f>
        <v>109103.92372695154</v>
      </c>
    </row>
    <row r="43" spans="1:28" x14ac:dyDescent="0.25">
      <c r="F43" s="95"/>
      <c r="G43" s="99"/>
      <c r="H43" s="45"/>
      <c r="M43" s="39" t="s">
        <v>30</v>
      </c>
      <c r="N43" s="11">
        <f>SUM(AB42*0.5)</f>
        <v>54551.961863475772</v>
      </c>
      <c r="O43" s="59" t="s">
        <v>35</v>
      </c>
      <c r="P43" s="55"/>
      <c r="AA43" s="2"/>
      <c r="AB43" s="5"/>
    </row>
    <row r="44" spans="1:28" x14ac:dyDescent="0.25"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x14ac:dyDescent="0.25">
      <c r="C45" s="6" t="s">
        <v>61</v>
      </c>
      <c r="D45" s="2" t="s">
        <v>60</v>
      </c>
      <c r="F45" s="2" t="s">
        <v>58</v>
      </c>
      <c r="O45" s="56"/>
      <c r="P45" s="55"/>
      <c r="S45" s="47"/>
      <c r="T45" s="45"/>
      <c r="U45" s="45"/>
      <c r="V45" s="45"/>
      <c r="W45" s="45"/>
      <c r="X45" s="45"/>
      <c r="Y45" s="45"/>
      <c r="Z45" s="45"/>
      <c r="AA45" s="45"/>
      <c r="AB45" s="45"/>
    </row>
    <row r="46" spans="1:28" ht="32.25" x14ac:dyDescent="0.25">
      <c r="B46" s="6" t="s">
        <v>77</v>
      </c>
      <c r="C46" s="6">
        <f>SUM(40*0.3)</f>
        <v>12</v>
      </c>
      <c r="F46" s="3" t="s">
        <v>0</v>
      </c>
      <c r="G46" s="3" t="s">
        <v>2</v>
      </c>
      <c r="H46" s="3" t="s">
        <v>10</v>
      </c>
      <c r="I46" s="10" t="s">
        <v>34</v>
      </c>
      <c r="J46" s="10" t="s">
        <v>67</v>
      </c>
      <c r="K46" s="82" t="s">
        <v>69</v>
      </c>
      <c r="L46" s="10" t="s">
        <v>68</v>
      </c>
      <c r="M46" s="10" t="s">
        <v>29</v>
      </c>
      <c r="N46" s="10" t="s">
        <v>32</v>
      </c>
      <c r="O46" s="10" t="s">
        <v>163</v>
      </c>
      <c r="P46" s="54" t="s">
        <v>164</v>
      </c>
      <c r="Q46" s="54" t="s">
        <v>165</v>
      </c>
      <c r="S46" s="37"/>
      <c r="T46" s="37"/>
      <c r="U46" s="37"/>
      <c r="V46" s="103"/>
      <c r="W46" s="103"/>
      <c r="X46" s="103"/>
      <c r="Y46" s="103"/>
      <c r="Z46" s="103"/>
      <c r="AA46" s="103"/>
      <c r="AB46" s="103"/>
    </row>
    <row r="47" spans="1:28" x14ac:dyDescent="0.25">
      <c r="A47">
        <f>40*0.3</f>
        <v>12</v>
      </c>
      <c r="B47" s="6" t="s">
        <v>44</v>
      </c>
      <c r="C47" s="68">
        <f>A47*0.2</f>
        <v>2.4000000000000004</v>
      </c>
      <c r="D47" s="2">
        <v>2</v>
      </c>
      <c r="F47" s="17" t="s">
        <v>23</v>
      </c>
      <c r="G47" s="17">
        <v>1</v>
      </c>
      <c r="H47" s="17">
        <v>67</v>
      </c>
      <c r="I47" s="18"/>
      <c r="J47" s="80">
        <f>SUM(H47*2300)</f>
        <v>154100</v>
      </c>
      <c r="K47" s="83">
        <f>H47*2300</f>
        <v>154100</v>
      </c>
      <c r="L47" s="80">
        <f t="shared" ref="L47:L52" si="19">SUM(J47*G47)</f>
        <v>154100</v>
      </c>
      <c r="M47" s="81">
        <f>SUM(L47*0.5)</f>
        <v>77050</v>
      </c>
      <c r="N47" s="29"/>
      <c r="O47" s="57">
        <f t="shared" ref="O47:O58" si="20">SUM(G47*H47)</f>
        <v>67</v>
      </c>
      <c r="P47" s="54"/>
      <c r="Q47" s="15"/>
      <c r="S47" s="24"/>
      <c r="T47" s="24"/>
      <c r="U47" s="24"/>
      <c r="V47" s="112"/>
      <c r="W47" s="112"/>
      <c r="X47" s="25"/>
      <c r="Y47" s="109"/>
      <c r="Z47" s="26"/>
      <c r="AA47" s="112"/>
      <c r="AB47" s="112"/>
    </row>
    <row r="48" spans="1:28" x14ac:dyDescent="0.25">
      <c r="A48">
        <f>A47</f>
        <v>12</v>
      </c>
      <c r="B48" s="6" t="s">
        <v>45</v>
      </c>
      <c r="C48" s="68">
        <f>A48*0.8</f>
        <v>9.6000000000000014</v>
      </c>
      <c r="D48" s="2">
        <v>10</v>
      </c>
      <c r="F48" s="17" t="s">
        <v>24</v>
      </c>
      <c r="G48" s="17">
        <v>1</v>
      </c>
      <c r="H48" s="17">
        <v>78</v>
      </c>
      <c r="I48" s="18"/>
      <c r="J48" s="80">
        <f>SUM(H48*2300)</f>
        <v>179400</v>
      </c>
      <c r="K48" s="83">
        <f t="shared" ref="K48:K58" si="21">H48*2300</f>
        <v>179400</v>
      </c>
      <c r="L48" s="80">
        <f t="shared" si="19"/>
        <v>179400</v>
      </c>
      <c r="M48" s="81">
        <f>SUM(L48*0.5)</f>
        <v>89700</v>
      </c>
      <c r="N48" s="29"/>
      <c r="O48" s="57">
        <f t="shared" si="20"/>
        <v>78</v>
      </c>
      <c r="P48" s="54"/>
      <c r="Q48" s="15"/>
      <c r="S48" s="23"/>
      <c r="T48" s="23"/>
      <c r="U48" s="23"/>
      <c r="V48" s="24"/>
      <c r="W48" s="24"/>
      <c r="X48" s="25"/>
      <c r="Y48" s="109"/>
      <c r="Z48" s="26"/>
      <c r="AA48" s="45"/>
      <c r="AB48" s="45"/>
    </row>
    <row r="49" spans="1:28" x14ac:dyDescent="0.25">
      <c r="A49"/>
      <c r="B49" t="s">
        <v>47</v>
      </c>
      <c r="C49" s="67">
        <v>0</v>
      </c>
      <c r="D49" s="2">
        <v>0</v>
      </c>
      <c r="F49" s="17" t="s">
        <v>26</v>
      </c>
      <c r="G49" s="17">
        <v>2</v>
      </c>
      <c r="H49" s="17">
        <v>46</v>
      </c>
      <c r="I49" s="18" t="s">
        <v>28</v>
      </c>
      <c r="J49" s="19">
        <v>101900</v>
      </c>
      <c r="K49" s="83">
        <f t="shared" si="21"/>
        <v>105800</v>
      </c>
      <c r="L49" s="19">
        <f t="shared" si="19"/>
        <v>203800</v>
      </c>
      <c r="M49" s="28"/>
      <c r="N49" s="30">
        <f>SUM(L49*0.37)</f>
        <v>75406</v>
      </c>
      <c r="O49" s="57">
        <f t="shared" si="20"/>
        <v>92</v>
      </c>
      <c r="P49" s="54"/>
      <c r="Q49" s="15"/>
      <c r="S49" s="23"/>
      <c r="T49" s="23"/>
      <c r="U49" s="23"/>
      <c r="V49" s="24"/>
      <c r="W49" s="24"/>
      <c r="X49" s="25"/>
      <c r="Y49" s="109"/>
      <c r="Z49" s="26"/>
      <c r="AA49" s="45"/>
      <c r="AB49" s="45"/>
    </row>
    <row r="50" spans="1:28" x14ac:dyDescent="0.25">
      <c r="F50" s="17" t="s">
        <v>33</v>
      </c>
      <c r="G50" s="17">
        <v>2</v>
      </c>
      <c r="H50" s="17">
        <v>59</v>
      </c>
      <c r="I50" s="18" t="s">
        <v>19</v>
      </c>
      <c r="J50" s="19">
        <v>126600</v>
      </c>
      <c r="K50" s="83">
        <f t="shared" si="21"/>
        <v>135700</v>
      </c>
      <c r="L50" s="19">
        <f t="shared" si="19"/>
        <v>253200</v>
      </c>
      <c r="M50" s="28"/>
      <c r="N50" s="30">
        <f>SUM(L50*0.37)</f>
        <v>93684</v>
      </c>
      <c r="O50" s="57">
        <f t="shared" si="20"/>
        <v>118</v>
      </c>
      <c r="P50" s="54"/>
      <c r="Q50" s="15"/>
      <c r="S50" s="23"/>
      <c r="T50" s="23"/>
      <c r="U50" s="23"/>
      <c r="V50" s="24"/>
      <c r="W50" s="24"/>
      <c r="X50" s="25"/>
      <c r="Y50" s="109"/>
      <c r="Z50" s="26"/>
      <c r="AA50" s="45"/>
      <c r="AB50" s="45"/>
    </row>
    <row r="51" spans="1:28" x14ac:dyDescent="0.25">
      <c r="F51" s="17" t="s">
        <v>25</v>
      </c>
      <c r="G51" s="17">
        <v>3</v>
      </c>
      <c r="H51" s="17">
        <v>83</v>
      </c>
      <c r="I51" s="18" t="s">
        <v>13</v>
      </c>
      <c r="J51" s="19">
        <v>161600</v>
      </c>
      <c r="K51" s="83">
        <f t="shared" si="21"/>
        <v>190900</v>
      </c>
      <c r="L51" s="19">
        <f t="shared" si="19"/>
        <v>484800</v>
      </c>
      <c r="M51" s="28"/>
      <c r="N51" s="30">
        <f>SUM(L51*0.37)</f>
        <v>179376</v>
      </c>
      <c r="O51" s="57">
        <f t="shared" si="20"/>
        <v>249</v>
      </c>
      <c r="P51" s="54"/>
      <c r="Q51" s="15"/>
      <c r="S51" s="23"/>
      <c r="T51" s="23"/>
      <c r="U51" s="23"/>
      <c r="V51" s="24"/>
      <c r="W51" s="24"/>
      <c r="X51" s="25"/>
      <c r="Y51" s="109"/>
      <c r="Z51" s="26"/>
      <c r="AA51" s="45"/>
      <c r="AB51" s="45"/>
    </row>
    <row r="52" spans="1:28" x14ac:dyDescent="0.25">
      <c r="F52" s="17" t="s">
        <v>31</v>
      </c>
      <c r="G52" s="18">
        <v>3</v>
      </c>
      <c r="H52" s="18">
        <v>94</v>
      </c>
      <c r="I52" s="21" t="s">
        <v>15</v>
      </c>
      <c r="J52" s="19">
        <v>179400</v>
      </c>
      <c r="K52" s="83">
        <f t="shared" si="21"/>
        <v>216200</v>
      </c>
      <c r="L52" s="19">
        <f t="shared" si="19"/>
        <v>538200</v>
      </c>
      <c r="M52" s="21"/>
      <c r="N52" s="30">
        <f>SUM(L52*0.37)</f>
        <v>199134</v>
      </c>
      <c r="O52" s="22">
        <f t="shared" si="20"/>
        <v>282</v>
      </c>
      <c r="P52" s="54"/>
      <c r="Q52" s="61">
        <f>SUM(O47:O52)</f>
        <v>886</v>
      </c>
      <c r="S52" s="23"/>
      <c r="T52" s="23"/>
      <c r="U52" s="23"/>
      <c r="V52" s="24"/>
      <c r="W52" s="24"/>
      <c r="X52" s="25"/>
      <c r="Y52" s="109"/>
      <c r="Z52" s="26"/>
      <c r="AA52" s="45"/>
      <c r="AB52" s="45"/>
    </row>
    <row r="53" spans="1:28" x14ac:dyDescent="0.25">
      <c r="F53" s="16" t="s">
        <v>4</v>
      </c>
      <c r="G53" s="16">
        <v>2</v>
      </c>
      <c r="H53" s="16">
        <v>78</v>
      </c>
      <c r="I53" s="8"/>
      <c r="J53" s="80"/>
      <c r="K53" s="83">
        <f t="shared" si="21"/>
        <v>179400</v>
      </c>
      <c r="L53" s="14"/>
      <c r="M53" s="15"/>
      <c r="N53" s="15"/>
      <c r="O53" s="57">
        <f t="shared" si="20"/>
        <v>156</v>
      </c>
      <c r="P53" s="54"/>
      <c r="Q53" s="15"/>
      <c r="S53" s="23"/>
      <c r="T53" s="23"/>
      <c r="U53" s="23"/>
      <c r="V53" s="24"/>
      <c r="W53" s="24"/>
      <c r="X53" s="25"/>
      <c r="Y53" s="109"/>
      <c r="Z53" s="26"/>
      <c r="AA53" s="45"/>
      <c r="AB53" s="45"/>
    </row>
    <row r="54" spans="1:28" x14ac:dyDescent="0.25">
      <c r="F54" s="16" t="s">
        <v>18</v>
      </c>
      <c r="G54" s="16">
        <v>2</v>
      </c>
      <c r="H54" s="16">
        <v>110</v>
      </c>
      <c r="I54" s="8"/>
      <c r="J54" s="80"/>
      <c r="K54" s="83">
        <f t="shared" si="21"/>
        <v>253000</v>
      </c>
      <c r="L54" s="14"/>
      <c r="M54" s="15"/>
      <c r="N54" s="15"/>
      <c r="O54" s="57">
        <f t="shared" si="20"/>
        <v>220</v>
      </c>
      <c r="P54" s="54"/>
      <c r="Q54" s="15"/>
      <c r="S54" s="23"/>
      <c r="T54" s="23"/>
      <c r="U54" s="23"/>
      <c r="V54" s="24"/>
      <c r="W54" s="24"/>
      <c r="X54" s="25"/>
      <c r="Y54" s="109"/>
      <c r="Z54" s="26"/>
      <c r="AA54" s="45"/>
      <c r="AB54" s="45"/>
    </row>
    <row r="55" spans="1:28" ht="15.75" x14ac:dyDescent="0.25">
      <c r="F55" s="16" t="s">
        <v>5</v>
      </c>
      <c r="G55" s="16">
        <v>6</v>
      </c>
      <c r="H55" s="16">
        <v>82</v>
      </c>
      <c r="I55" s="8"/>
      <c r="J55" s="80"/>
      <c r="K55" s="83">
        <f t="shared" si="21"/>
        <v>188600</v>
      </c>
      <c r="L55" s="14"/>
      <c r="M55" s="15"/>
      <c r="N55" s="15"/>
      <c r="O55" s="57">
        <f t="shared" si="20"/>
        <v>492</v>
      </c>
      <c r="P55" s="54"/>
      <c r="Q55" s="15"/>
      <c r="S55" s="45"/>
      <c r="T55" s="37"/>
      <c r="U55" s="45"/>
      <c r="V55" s="45"/>
      <c r="W55" s="45"/>
      <c r="X55" s="45"/>
      <c r="Y55" s="110"/>
      <c r="Z55" s="50"/>
      <c r="AA55" s="50"/>
      <c r="AB55" s="38"/>
    </row>
    <row r="56" spans="1:28" x14ac:dyDescent="0.25">
      <c r="F56" s="16" t="s">
        <v>6</v>
      </c>
      <c r="G56" s="16">
        <v>4</v>
      </c>
      <c r="H56" s="16">
        <v>110</v>
      </c>
      <c r="I56" s="8"/>
      <c r="J56" s="80"/>
      <c r="K56" s="83">
        <f t="shared" si="21"/>
        <v>253000</v>
      </c>
      <c r="L56" s="14"/>
      <c r="M56" s="15"/>
      <c r="N56" s="15"/>
      <c r="O56" s="57">
        <f t="shared" si="20"/>
        <v>440</v>
      </c>
      <c r="P56" s="54"/>
      <c r="Q56" s="15"/>
      <c r="S56" s="95"/>
      <c r="T56" s="99"/>
      <c r="U56" s="45"/>
      <c r="V56" s="45"/>
      <c r="W56" s="45"/>
      <c r="X56" s="45"/>
      <c r="Y56" s="45"/>
      <c r="Z56" s="45"/>
      <c r="AA56" s="47"/>
      <c r="AB56" s="102"/>
    </row>
    <row r="57" spans="1:28" x14ac:dyDescent="0.25">
      <c r="F57" s="16" t="s">
        <v>7</v>
      </c>
      <c r="G57" s="16">
        <v>8</v>
      </c>
      <c r="H57" s="16">
        <v>94</v>
      </c>
      <c r="I57" s="8"/>
      <c r="J57" s="80"/>
      <c r="K57" s="83">
        <f t="shared" si="21"/>
        <v>216200</v>
      </c>
      <c r="L57" s="14"/>
      <c r="M57" s="15"/>
      <c r="N57" s="15"/>
      <c r="O57" s="57">
        <f t="shared" si="20"/>
        <v>752</v>
      </c>
      <c r="P57" s="54"/>
      <c r="Q57" s="15"/>
      <c r="S57" s="95"/>
      <c r="T57" s="99"/>
      <c r="U57" s="45"/>
      <c r="V57" s="45"/>
      <c r="W57" s="45"/>
      <c r="X57" s="45"/>
      <c r="Y57" s="45"/>
      <c r="Z57" s="45"/>
      <c r="AA57" s="45"/>
      <c r="AB57" s="45"/>
    </row>
    <row r="58" spans="1:28" x14ac:dyDescent="0.25">
      <c r="F58" s="16" t="s">
        <v>8</v>
      </c>
      <c r="G58" s="16">
        <v>6</v>
      </c>
      <c r="H58" s="16">
        <v>120</v>
      </c>
      <c r="I58" s="8"/>
      <c r="J58" s="80"/>
      <c r="K58" s="83">
        <f t="shared" si="21"/>
        <v>276000</v>
      </c>
      <c r="L58" s="14"/>
      <c r="M58" s="15"/>
      <c r="O58" s="57">
        <f t="shared" si="20"/>
        <v>720</v>
      </c>
      <c r="P58" s="54"/>
      <c r="Q58" s="15"/>
      <c r="S58" s="100"/>
      <c r="T58" s="96"/>
      <c r="U58" s="45"/>
      <c r="V58" s="45"/>
      <c r="W58" s="45"/>
      <c r="X58" s="45"/>
      <c r="Y58" s="45"/>
      <c r="Z58" s="45"/>
      <c r="AA58" s="45"/>
      <c r="AB58" s="45"/>
    </row>
    <row r="59" spans="1:28" x14ac:dyDescent="0.25">
      <c r="G59" s="3">
        <f>SUM(G47:G58)</f>
        <v>40</v>
      </c>
      <c r="L59" s="27"/>
      <c r="M59" s="35">
        <f>SUM(M47:M48)</f>
        <v>166750</v>
      </c>
      <c r="N59" s="35">
        <f>SUM(N49:N52)</f>
        <v>547600</v>
      </c>
      <c r="O59" s="69">
        <f>SUM(O47:O58)</f>
        <v>3666</v>
      </c>
      <c r="P59" s="54">
        <f>SUM(O53:O58)</f>
        <v>2780</v>
      </c>
      <c r="Q59" s="1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1:28" ht="15.75" x14ac:dyDescent="0.25">
      <c r="F60" s="95"/>
      <c r="G60" s="99"/>
      <c r="H60" s="45"/>
      <c r="M60" s="36" t="s">
        <v>1</v>
      </c>
      <c r="N60" s="33">
        <f>SUM(M59:N59)</f>
        <v>714350</v>
      </c>
      <c r="O60" s="6" t="s">
        <v>141</v>
      </c>
      <c r="P60" s="5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spans="1:28" x14ac:dyDescent="0.25">
      <c r="F61" s="95"/>
      <c r="G61" s="99"/>
      <c r="H61" s="45"/>
      <c r="O61" s="56"/>
      <c r="P61" s="55"/>
    </row>
    <row r="62" spans="1:28" x14ac:dyDescent="0.25">
      <c r="F62" s="100"/>
      <c r="G62" s="96"/>
      <c r="H62" s="45"/>
      <c r="O62" s="56"/>
      <c r="P62" s="55"/>
    </row>
    <row r="73" spans="25:28" x14ac:dyDescent="0.25">
      <c r="Y73" s="20"/>
      <c r="Z73" s="20"/>
      <c r="AA73" s="20"/>
      <c r="AB73" s="27"/>
    </row>
  </sheetData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HLT Mixes, etc.</vt:lpstr>
      <vt:lpstr>HLT N.Torfaen</vt:lpstr>
      <vt:lpstr>HLT Pont West</vt:lpstr>
      <vt:lpstr>HLT Pont East</vt:lpstr>
      <vt:lpstr>HLT Cwm N&amp;W</vt:lpstr>
      <vt:lpstr>HLT Cwm S&amp;E</vt:lpstr>
    </vt:vector>
  </TitlesOfParts>
  <Company>Torfaen County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Wilcock</dc:creator>
  <cp:lastModifiedBy>Wilcock Adrian</cp:lastModifiedBy>
  <cp:lastPrinted>2017-12-07T17:31:14Z</cp:lastPrinted>
  <dcterms:created xsi:type="dcterms:W3CDTF">2015-04-07T15:08:50Z</dcterms:created>
  <dcterms:modified xsi:type="dcterms:W3CDTF">2017-12-11T08:21:12Z</dcterms:modified>
</cp:coreProperties>
</file>